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ABR\INF_ELABORADA\"/>
    </mc:Choice>
  </mc:AlternateContent>
  <xr:revisionPtr revIDLastSave="0" documentId="13_ncr:1_{4712E2A8-4523-4247-AB1E-F6068519E33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Dat_01!$A$85:$S$114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O146" i="18" s="1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N140" i="18" l="1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<sst xmlns="http://schemas.openxmlformats.org/spreadsheetml/2006/main" count="426" uniqueCount="130">
  <si>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</si>
  <si>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</si>
  <si>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</si>
  <si>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</si>
  <si>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</si>
  <si>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</si>
  <si>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</si>
  <si>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</si>
  <si>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</si>
  <si>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</si>
  <si>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</si>
  <si>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</si>
  <si>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</si>
  <si>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</si>
  <si>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</si>
  <si>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</si>
  <si>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</si>
  <si>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</si>
  <si>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</si>
  <si>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</si>
  <si>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</si>
  <si>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</si>
  <si>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</si>
  <si>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</si>
  <si>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</si>
  <si>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</si>
  <si>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</si>
  <si>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</si>
  <si>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</si>
  <si>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</si>
  <si>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</si>
  <si>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</si>
  <si>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</si>
  <si>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</si>
  <si>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</si>
  <si>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</si>
  <si>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</si>
  <si>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</si>
  <si>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</si>
  <si>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</si>
  <si>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</si>
  <si>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</si>
  <si>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</si>
  <si>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</si>
  <si>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</si>
  <si>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</si>
  <si>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</si>
  <si>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</si>
  <si>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</si>
  <si>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</si>
  <si>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</si>
  <si>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</si>
  <si>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</si>
  <si>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</si>
  <si>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</si>
  <si>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</si>
  <si>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</si>
  <si>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</si>
  <si>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</si>
  <si>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</si>
  <si>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</si>
  <si>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</si>
  <si>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</si>
  <si>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</si>
  <si>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</si>
  <si>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</si>
  <si>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</si>
  <si>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</si>
  <si>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</si>
  <si>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</si>
  <si>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</si>
  <si>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</si>
  <si>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</si>
  <si>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</si>
  <si>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</si>
  <si>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</si>
  <si>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</si>
  <si>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</si>
  <si>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</si>
  <si>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</si>
  <si>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</si>
  <si>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</si>
  <si>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</si>
  <si>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</si>
  <si>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</si>
  <si>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</si>
  <si>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</si>
  <si>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</si>
  <si>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</si>
  <si>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</si>
  <si>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</si>
  <si>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</si>
  <si>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</si>
  <si>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</si>
  <si>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</si>
  <si>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</si>
  <si>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</si>
  <si>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</si>
  <si>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</si>
  <si>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</si>
  <si>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</si>
  <si>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</si>
  <si>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</si>
  <si>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</si>
  <si>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</si>
  <si>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</si>
  <si>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</si>
  <si>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</si>
  <si>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</si>
  <si>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</si>
  <si>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</si>
  <si>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</si>
  <si>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</si>
  <si>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</si>
  <si>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</si>
  <si>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</si>
  <si>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</si>
  <si>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</si>
  <si>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</si>
  <si>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</si>
  <si>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</si>
  <si>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</si>
  <si>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30/04/2023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</si>
  <si>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09:49:09" si="2.000000016a2a42df4a5e9d900c6aa71b5d545ccb6ba54bb9bf4f1fa4aec69d51c86fe144d63258be29227a95e3a7ae266fad223a51a3bf7038f4fb2ff561284e126996dce25f3523db4f2f210b89b5490ee339227e7d223f390753c82ca7c03bfa495ce4866d69d67321f5f6b725295d4a77b27e9b5a6d014a36d6929194371b7e23791203e473b4a946f68eef65bc4d07dd5e3a3d2b75fb4276af3c51cf5df26740.p.3082.0.1.Europe/Madrid.upriv*_1*_pidn2*_2*_session*-lat*_1.00000001551acbf4a69a50571684053db186f234bc6025e023a8393827e2cc871cc4f25086f036e3b9b20a4d38d4a4b2e4678d0fb757cec7.000000012193893261d5b3580ef55bf2c1397cb8bc6025e04d1c03ac4c48cafe81de0cee55270ed2f9039b9fcbc70a471336e45b568f022b.0.1.1.BDEbi.D066E1C611E6257C10D00080EF253B44.0-3082.1.1_-0.1.0_-3082.1.1_5.5.0.*0.0000000172077df7b538defd87fee6692e90fcb4c911585acaa6e54c11b1a9ca633381519a01627c.0.23.11*.2*.0400*.31152J.e.000000012028a331135c7884ae522618ac707ec3c911585a6a8906580f45988d318a20e013034c59.0.10*.131*.122*.122.0.0" msgID="E080574111EDF3CE78270080EFD54452"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</si>
  <si>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ut="05/16/2023 09:52:35" si="2.000000016a2a42df4a5e9d900c6aa71b5d545ccb6ba54bb9bf4f1fa4aec69d51c86fe144d63258be29227a95e3a7ae266fad223a51a3bf7038f4fb2ff561284e126996dce25f3523db4f2f210b89b5490ee339227e7d223f390753c82ca7c03bfa495ce4866d69d67321f5f6b725295d4a77b27e9b5a6d014a36d6929194371b7e23791203e473b4a946f68eef65bc4d07dd5e3a3d2b75fb4276af3c51cf5df26740.p.3082.0.1.Europe/Madrid.upriv*_1*_pidn2*_2*_session*-lat*_1.00000001551acbf4a69a50571684053db186f234bc6025e023a8393827e2cc871cc4f25086f036e3b9b20a4d38d4a4b2e4678d0fb757cec7.000000012193893261d5b3580ef55bf2c1397cb8bc6025e04d1c03ac4c48cafe81de0cee55270ed2f9039b9fcbc70a471336e45b568f022b.0.1.1.BDEbi.D066E1C611E6257C10D00080EF253B44.0-3082.1.1_-0.1.0_-3082.1.1_5.5.0.*0.0000000172077df7b538defd87fee6692e90fcb4c911585acaa6e54c11b1a9ca633381519a01627c.0.23.11*.2*.0400*.31152J.e.000000012028a331135c7884ae522618ac707ec3c911585a6a8906580f45988d318a20e013034c59.0.10*.131*.122*.122.0.0" msgID="F10C5A9711EDF3CE78270080EF25E453"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nrr="1309" nrc="2464"&gt;&lt;pg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</si>
  <si>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Mayo 2023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</si>
  <si>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ut="05/16/2023 10:05:58" si="2.000000016a2a42df4a5e9d900c6aa71b5d545ccb6ba54bb9bf4f1fa4aec69d51c86fe144d63258be29227a95e3a7ae266fad223a51a3bf7038f4fb2ff561284e126996dce25f3523db4f2f210b89b5490ee339227e7d223f390753c82ca7c03bfa495ce4866d69d67321f5f6b725295d4a77b27e9b5a6d014a36d6929194371b7e23791203e473b4a946f68eef65bc4d07dd5e3a3d2b75fb4276af3c51cf5df26740.p.3082.0.1.Europe/Madrid.upriv*_1*_pidn2*_2*_session*-lat*_1.00000001551acbf4a69a50571684053db186f234bc6025e023a8393827e2cc871cc4f25086f036e3b9b20a4d38d4a4b2e4678d0fb757cec7.000000012193893261d5b3580ef55bf2c1397cb8bc6025e04d1c03ac4c48cafe81de0cee55270ed2f9039b9fcbc70a471336e45b568f022b.0.1.1.BDEbi.D066E1C611E6257C10D00080EF253B44.0-3082.1.1_-0.1.0_-3082.1.1_5.5.0.*0.0000000172077df7b538defd87fee6692e90fcb4c911585acaa6e54c11b1a9ca633381519a01627c.0.23.11*.2*.0400*.31152J.e.000000012028a331135c7884ae522618ac707ec3c911585a6a8906580f45988d318a20e013034c59.0.10*.131*.122*.122.0.0" msgID="912DC87F11EDF3D078270080EFE56452"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cols="19" /&gt;&lt;esdo ews="" ece="" ptn="" /&gt;&lt;/excel&gt;&lt;pgs&gt;&lt;pg rows="27" cols="17" nrr="1872" nrc="1445"&gt;&lt;pg /&gt;&lt;bls&gt;&lt;bl sr="1" sc="1" rfetch="27" cfetch="17" posid="1" darows="0" dacols="1"&gt;&lt;excel&gt;&lt;epo ews="Dat_01" ece="A85" enr="MSTR.Serie_Balance_B.C._Mensual_Baleares_y_Canarias" ptn="" qtn="" rows="30" cols="19" /&gt;&lt;esdo ews="" ece="" ptn="" /&gt;&lt;/excel&gt;&lt;gridRng&gt;&lt;sect id="TITLE_AREA" rngprop="1:1:3:2" /&gt;&lt;sect id="ROWHEADERS_AREA" rngprop="4:1:27:2" /&gt;&lt;sect id="COLUMNHEADERS_AREA" rngprop="1:3:3:17" /&gt;&lt;sect id="DATA_AREA" rngprop="4:3:27:17"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</si>
  <si>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ut="05/16/2023 10:07:39" si="2.00000001291bf95038243909fb838903de8ecf84d0d5014ce0c1000266c84165bf4658e26dbe856a15e969aa325251be4d4fc6c4fac683baaea81287dd70e9f09e850c5204a2b2fbe05b35fbf82c9f08054eb9cf55ff52fd81f9f621b46b5c834647dc1c1a7e194253779396ea275af316f6de4080798ea4abb3a654c6b8cd7a376fcbf3ee34cf640cf878a038277fde7f5de3feb19abcc6312d80f52b30234e8113.p.3082.0.1.Europe/Madrid.upriv*_1*_pidn2*_2*_session*-lat*_1.0000000167962251d8f55c3cd5907e33ed6c7083bc6025e0f8f8204067d35e8ab3887e0388a2cc8bb9089e58b39c698f719bc07ae8cf444c.00000001f28a3461e99495f3c48a5be838c1b678bc6025e0bd93dbf510839c7c673bdaab25519fd2537e62340a8d4155e3214d04c9590cf5.0.1.1.BDEbi.D066E1C611E6257C10D00080EF253B44.0-3082.1.1_-0.1.0_-3082.1.1_5.5.0.*0.00000001b4bb8302705707d28dff36f3b5d8b89ac911585ab3dafe183091dcab5e9dcd2c73486bb8.0.23.11*.2*.0400*.31152J.e.0000000157bd0083968c61bf6e2e856b677d25e0c911585a4d90f2839a563d7d30794b1feaef9fa4.0.10*.131*.122*.122.0.0" msgID="6DFA73D911EDF3D18C680080EF75C5B4"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nrr="103" nrc="672"&gt;&lt;pg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</si>
  <si>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4d0da1ac48974c2ca7aa60c9c68cfb4d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</si>
  <si>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ut="05/16/2023 10:08:15" si="2.00000001291bf95038243909fb838903de8ecf84d0d5014ce0c1000266c84165bf4658e26dbe856a15e969aa325251be4d4fc6c4fac683baaea81287dd70e9f09e850c5204a2b2fbe05b35fbf82c9f08054eb9cf55ff52fd81f9f621b46b5c834647dc1c1a7e194253779396ea275af316f6de4080798ea4abb3a654c6b8cd7a376fcbf3ee34cf640cf878a038277fde7f5de3feb19abcc6312d80f52b30234e8113.p.3082.0.1.Europe/Madrid.upriv*_1*_pidn2*_2*_session*-lat*_1.0000000167962251d8f55c3cd5907e33ed6c7083bc6025e0f8f8204067d35e8ab3887e0388a2cc8bb9089e58b39c698f719bc07ae8cf444c.00000001f28a3461e99495f3c48a5be838c1b678bc6025e0bd93dbf510839c7c673bdaab25519fd2537e62340a8d4155e3214d04c9590cf5.0.1.1.BDEbi.D066E1C611E6257C10D00080EF253B44.0-3082.1.1_-0.1.0_-3082.1.1_5.5.0.*0.00000001b4bb8302705707d28dff36f3b5d8b89ac911585ab3dafe183091dcab5e9dcd2c73486bb8.0.23.11*.2*.0400*.31152J.e.0000000157bd0083968c61bf6e2e856b677d25e0c911585a4d90f2839a563d7d30794b1feaef9fa4.0.10*.131*.122*.122.0.0" msgID="8AEA1E8A11EDF3D18C680080EF75C5B4"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nrr="58" nrc="708"&gt;&lt;pg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</si>
</sst>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16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934959349593483"/>
                  <c:y val="-8.069173228346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-3.2222244094488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6565802445426034"/>
                  <c:y val="-0.13699822448664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1.7659356054360622</c:v>
                </c:pt>
                <c:pt idx="2">
                  <c:v>7.2876966865836028</c:v>
                </c:pt>
                <c:pt idx="3">
                  <c:v>51.419848861068964</c:v>
                </c:pt>
                <c:pt idx="4">
                  <c:v>0</c:v>
                </c:pt>
                <c:pt idx="5">
                  <c:v>0.89609180916949349</c:v>
                </c:pt>
                <c:pt idx="6">
                  <c:v>2.6379274006839082</c:v>
                </c:pt>
                <c:pt idx="7">
                  <c:v>2.6379274006839082</c:v>
                </c:pt>
                <c:pt idx="8">
                  <c:v>3.1520734071300439E-2</c:v>
                </c:pt>
                <c:pt idx="9">
                  <c:v>9.0392759955326785</c:v>
                </c:pt>
                <c:pt idx="10">
                  <c:v>1.8314178915038039E-2</c:v>
                </c:pt>
                <c:pt idx="11">
                  <c:v>24.265461327855053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11.33088212498123</c:v>
                </c:pt>
                <c:pt idx="1">
                  <c:v>6.548610979363116</c:v>
                </c:pt>
                <c:pt idx="2">
                  <c:v>28.331903024776867</c:v>
                </c:pt>
                <c:pt idx="3">
                  <c:v>38.657474712467057</c:v>
                </c:pt>
                <c:pt idx="4">
                  <c:v>0</c:v>
                </c:pt>
                <c:pt idx="5">
                  <c:v>0.54131739107030974</c:v>
                </c:pt>
                <c:pt idx="6">
                  <c:v>1.7569444090974211</c:v>
                </c:pt>
                <c:pt idx="7">
                  <c:v>1.7569444090974211</c:v>
                </c:pt>
                <c:pt idx="8">
                  <c:v>0.16946997208072051</c:v>
                </c:pt>
                <c:pt idx="9">
                  <c:v>10.806391704569119</c:v>
                </c:pt>
                <c:pt idx="10">
                  <c:v>0.10006127249672478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-0.60548299999999999</c:v>
                </c:pt>
                <c:pt idx="1">
                  <c:v>-1.0302370000000001</c:v>
                </c:pt>
                <c:pt idx="2">
                  <c:v>29.141857000000002</c:v>
                </c:pt>
                <c:pt idx="3">
                  <c:v>50.189168000000002</c:v>
                </c:pt>
                <c:pt idx="4">
                  <c:v>5.2653150000000002</c:v>
                </c:pt>
                <c:pt idx="5">
                  <c:v>-0.60380599999999995</c:v>
                </c:pt>
                <c:pt idx="6">
                  <c:v>-0.613232</c:v>
                </c:pt>
                <c:pt idx="7">
                  <c:v>-0.58811800000000003</c:v>
                </c:pt>
                <c:pt idx="8">
                  <c:v>-0.62679200000000002</c:v>
                </c:pt>
                <c:pt idx="9">
                  <c:v>-0.72771799999999998</c:v>
                </c:pt>
                <c:pt idx="10">
                  <c:v>-0.70697299999999996</c:v>
                </c:pt>
                <c:pt idx="11">
                  <c:v>-0.51834000000000002</c:v>
                </c:pt>
                <c:pt idx="12">
                  <c:v>-0.60865999999999998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55.506872999999999</c:v>
                </c:pt>
                <c:pt idx="1">
                  <c:v>70.042819000000009</c:v>
                </c:pt>
                <c:pt idx="2">
                  <c:v>85.898263999999998</c:v>
                </c:pt>
                <c:pt idx="3">
                  <c:v>121.496702</c:v>
                </c:pt>
                <c:pt idx="4">
                  <c:v>132.469054</c:v>
                </c:pt>
                <c:pt idx="5">
                  <c:v>93.246324000000001</c:v>
                </c:pt>
                <c:pt idx="6">
                  <c:v>60.668753000000002</c:v>
                </c:pt>
                <c:pt idx="7">
                  <c:v>32.393524999999997</c:v>
                </c:pt>
                <c:pt idx="8">
                  <c:v>28.980339000000001</c:v>
                </c:pt>
                <c:pt idx="9">
                  <c:v>54.403029000000004</c:v>
                </c:pt>
                <c:pt idx="10">
                  <c:v>47.337153999999998</c:v>
                </c:pt>
                <c:pt idx="11">
                  <c:v>40.752212</c:v>
                </c:pt>
                <c:pt idx="12">
                  <c:v>36.577028999999996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307.42903200000001</c:v>
                </c:pt>
                <c:pt idx="1">
                  <c:v>317.55595499999998</c:v>
                </c:pt>
                <c:pt idx="2">
                  <c:v>367.58788099999998</c:v>
                </c:pt>
                <c:pt idx="3">
                  <c:v>396.959791</c:v>
                </c:pt>
                <c:pt idx="4">
                  <c:v>456.377207</c:v>
                </c:pt>
                <c:pt idx="5">
                  <c:v>377.07382699999999</c:v>
                </c:pt>
                <c:pt idx="6">
                  <c:v>297.32130999999998</c:v>
                </c:pt>
                <c:pt idx="7">
                  <c:v>234.47985499999999</c:v>
                </c:pt>
                <c:pt idx="8">
                  <c:v>251.18496099999999</c:v>
                </c:pt>
                <c:pt idx="9">
                  <c:v>236.33414099999999</c:v>
                </c:pt>
                <c:pt idx="10">
                  <c:v>250.50749099999999</c:v>
                </c:pt>
                <c:pt idx="11">
                  <c:v>233.28242</c:v>
                </c:pt>
                <c:pt idx="12">
                  <c:v>207.738203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0.239788</c:v>
                </c:pt>
                <c:pt idx="1">
                  <c:v>0.16079099999999999</c:v>
                </c:pt>
                <c:pt idx="2">
                  <c:v>6.1459E-2</c:v>
                </c:pt>
                <c:pt idx="3">
                  <c:v>3.0289E-2</c:v>
                </c:pt>
                <c:pt idx="4">
                  <c:v>3.2219999999999999E-2</c:v>
                </c:pt>
                <c:pt idx="5">
                  <c:v>1.2760000000000001E-2</c:v>
                </c:pt>
                <c:pt idx="6">
                  <c:v>2.8530000000000001E-3</c:v>
                </c:pt>
                <c:pt idx="7">
                  <c:v>2.5883E-2</c:v>
                </c:pt>
                <c:pt idx="8">
                  <c:v>0.100989</c:v>
                </c:pt>
                <c:pt idx="9">
                  <c:v>0.21573000000000001</c:v>
                </c:pt>
                <c:pt idx="10">
                  <c:v>0.18323999999999999</c:v>
                </c:pt>
                <c:pt idx="11">
                  <c:v>0.20035</c:v>
                </c:pt>
                <c:pt idx="12">
                  <c:v>0.12734500000000001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22.448584</c:v>
                </c:pt>
                <c:pt idx="1">
                  <c:v>27.351011</c:v>
                </c:pt>
                <c:pt idx="2">
                  <c:v>29.26784</c:v>
                </c:pt>
                <c:pt idx="3">
                  <c:v>33.069572000000001</c:v>
                </c:pt>
                <c:pt idx="4">
                  <c:v>29.670628000000001</c:v>
                </c:pt>
                <c:pt idx="5">
                  <c:v>25.077711000000001</c:v>
                </c:pt>
                <c:pt idx="6">
                  <c:v>23.563777000000002</c:v>
                </c:pt>
                <c:pt idx="7">
                  <c:v>17.217534000000001</c:v>
                </c:pt>
                <c:pt idx="8">
                  <c:v>15.034399000000001</c:v>
                </c:pt>
                <c:pt idx="9">
                  <c:v>18.176791999999999</c:v>
                </c:pt>
                <c:pt idx="10">
                  <c:v>21.958507000000001</c:v>
                </c:pt>
                <c:pt idx="11">
                  <c:v>34.017825999999999</c:v>
                </c:pt>
                <c:pt idx="12">
                  <c:v>36.519029000000003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0.16531499999999999</c:v>
                </c:pt>
                <c:pt idx="1">
                  <c:v>0.166327</c:v>
                </c:pt>
                <c:pt idx="2">
                  <c:v>0.111179</c:v>
                </c:pt>
                <c:pt idx="3">
                  <c:v>9.5128000000000004E-2</c:v>
                </c:pt>
                <c:pt idx="4">
                  <c:v>5.6752999999999998E-2</c:v>
                </c:pt>
                <c:pt idx="5">
                  <c:v>7.1924000000000002E-2</c:v>
                </c:pt>
                <c:pt idx="6">
                  <c:v>9.6991999999999995E-2</c:v>
                </c:pt>
                <c:pt idx="7">
                  <c:v>8.4503999999999996E-2</c:v>
                </c:pt>
                <c:pt idx="8">
                  <c:v>7.7099000000000001E-2</c:v>
                </c:pt>
                <c:pt idx="9">
                  <c:v>9.3608999999999998E-2</c:v>
                </c:pt>
                <c:pt idx="10">
                  <c:v>0.13599800000000001</c:v>
                </c:pt>
                <c:pt idx="11">
                  <c:v>0.11230800000000001</c:v>
                </c:pt>
                <c:pt idx="12">
                  <c:v>7.399E-2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1.8386769999999999</c:v>
                </c:pt>
                <c:pt idx="1">
                  <c:v>1.9461250000000001</c:v>
                </c:pt>
                <c:pt idx="2">
                  <c:v>1.5363420000000001</c:v>
                </c:pt>
                <c:pt idx="3">
                  <c:v>1.1719729999999999</c:v>
                </c:pt>
                <c:pt idx="4">
                  <c:v>5.1333999999999998E-2</c:v>
                </c:pt>
                <c:pt idx="5">
                  <c:v>2.0373130000000002</c:v>
                </c:pt>
                <c:pt idx="6">
                  <c:v>1.826864</c:v>
                </c:pt>
                <c:pt idx="7">
                  <c:v>2.5541079999999998</c:v>
                </c:pt>
                <c:pt idx="8">
                  <c:v>2.9410020000000001</c:v>
                </c:pt>
                <c:pt idx="9">
                  <c:v>3.055609</c:v>
                </c:pt>
                <c:pt idx="10">
                  <c:v>3.0516040000000002</c:v>
                </c:pt>
                <c:pt idx="11">
                  <c:v>3.5856219999999999</c:v>
                </c:pt>
                <c:pt idx="12">
                  <c:v>3.6202459999999999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7.8050050000000004</c:v>
                </c:pt>
                <c:pt idx="1">
                  <c:v>11.846197500000001</c:v>
                </c:pt>
                <c:pt idx="2">
                  <c:v>13.186323</c:v>
                </c:pt>
                <c:pt idx="3">
                  <c:v>16.1606655</c:v>
                </c:pt>
                <c:pt idx="4">
                  <c:v>13.6723105</c:v>
                </c:pt>
                <c:pt idx="5">
                  <c:v>13.5816645</c:v>
                </c:pt>
                <c:pt idx="6">
                  <c:v>11.230755</c:v>
                </c:pt>
                <c:pt idx="7">
                  <c:v>10.188828000000001</c:v>
                </c:pt>
                <c:pt idx="8">
                  <c:v>10.4136255</c:v>
                </c:pt>
                <c:pt idx="9">
                  <c:v>7.3618245</c:v>
                </c:pt>
                <c:pt idx="10">
                  <c:v>9.8298860000000001</c:v>
                </c:pt>
                <c:pt idx="11">
                  <c:v>9.6378819999999994</c:v>
                </c:pt>
                <c:pt idx="12">
                  <c:v>10.65733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7.8050050000000004</c:v>
                </c:pt>
                <c:pt idx="1">
                  <c:v>11.846197500000001</c:v>
                </c:pt>
                <c:pt idx="2">
                  <c:v>13.186323</c:v>
                </c:pt>
                <c:pt idx="3">
                  <c:v>16.1606655</c:v>
                </c:pt>
                <c:pt idx="4">
                  <c:v>13.6723105</c:v>
                </c:pt>
                <c:pt idx="5">
                  <c:v>13.5816645</c:v>
                </c:pt>
                <c:pt idx="6">
                  <c:v>11.230755</c:v>
                </c:pt>
                <c:pt idx="7">
                  <c:v>10.188828000000001</c:v>
                </c:pt>
                <c:pt idx="8">
                  <c:v>10.4136255</c:v>
                </c:pt>
                <c:pt idx="9">
                  <c:v>7.3618245</c:v>
                </c:pt>
                <c:pt idx="10">
                  <c:v>9.8298860000000001</c:v>
                </c:pt>
                <c:pt idx="11">
                  <c:v>9.6378819999999994</c:v>
                </c:pt>
                <c:pt idx="12">
                  <c:v>10.65733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33.641058999999998</c:v>
                </c:pt>
                <c:pt idx="1">
                  <c:v>32.047055999999998</c:v>
                </c:pt>
                <c:pt idx="2">
                  <c:v>35.225064000000003</c:v>
                </c:pt>
                <c:pt idx="3">
                  <c:v>67.033137999999994</c:v>
                </c:pt>
                <c:pt idx="4">
                  <c:v>77.653036</c:v>
                </c:pt>
                <c:pt idx="5">
                  <c:v>70.647335999999996</c:v>
                </c:pt>
                <c:pt idx="6">
                  <c:v>61.365385000000003</c:v>
                </c:pt>
                <c:pt idx="7">
                  <c:v>55.991686000000001</c:v>
                </c:pt>
                <c:pt idx="8">
                  <c:v>79.778822000000005</c:v>
                </c:pt>
                <c:pt idx="9">
                  <c:v>123.950131</c:v>
                </c:pt>
                <c:pt idx="10">
                  <c:v>89.734262000000001</c:v>
                </c:pt>
                <c:pt idx="11">
                  <c:v>82.194308000000007</c:v>
                </c:pt>
                <c:pt idx="12">
                  <c:v>98.033413999999993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15.066446608923254</c:v>
                </c:pt>
                <c:pt idx="1">
                  <c:v>16.089434975795228</c:v>
                </c:pt>
                <c:pt idx="2">
                  <c:v>14.911963315828725</c:v>
                </c:pt>
                <c:pt idx="3">
                  <c:v>26.737968368801134</c:v>
                </c:pt>
                <c:pt idx="4">
                  <c:v>1.1802523592422041</c:v>
                </c:pt>
                <c:pt idx="5">
                  <c:v>4.696292110073691E-2</c:v>
                </c:pt>
                <c:pt idx="6">
                  <c:v>0.34975017556601434</c:v>
                </c:pt>
                <c:pt idx="7">
                  <c:v>18.947839347923303</c:v>
                </c:pt>
                <c:pt idx="8">
                  <c:v>6.555187876563938</c:v>
                </c:pt>
                <c:pt idx="9">
                  <c:v>0.11419405025547608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9837398373983739"/>
                  <c:y val="-3.082599969121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0.106711826462868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3495947762627236"/>
                  <c:y val="-0.133726461881218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9.7561103642532482E-2"/>
                  <c:y val="-0.146602613990111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22.175953475900272</c:v>
                </c:pt>
                <c:pt idx="1">
                  <c:v>3.1215492852930771</c:v>
                </c:pt>
                <c:pt idx="2">
                  <c:v>13.195943650677542</c:v>
                </c:pt>
                <c:pt idx="3">
                  <c:v>41.370991887157807</c:v>
                </c:pt>
                <c:pt idx="4">
                  <c:v>0</c:v>
                </c:pt>
                <c:pt idx="5">
                  <c:v>4.0862531394216479E-2</c:v>
                </c:pt>
                <c:pt idx="6">
                  <c:v>0.2328455986649513</c:v>
                </c:pt>
                <c:pt idx="7">
                  <c:v>15.344848276126571</c:v>
                </c:pt>
                <c:pt idx="8">
                  <c:v>4.4236277182276957</c:v>
                </c:pt>
                <c:pt idx="9">
                  <c:v>9.3377576557881981E-2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0.27407199999999998</c:v>
                </c:pt>
                <c:pt idx="1">
                  <c:v>0.29870099999999999</c:v>
                </c:pt>
                <c:pt idx="2">
                  <c:v>0.28138299999999999</c:v>
                </c:pt>
                <c:pt idx="3">
                  <c:v>0.29436099999999998</c:v>
                </c:pt>
                <c:pt idx="4">
                  <c:v>0.29274699999999998</c:v>
                </c:pt>
                <c:pt idx="5">
                  <c:v>0.28892499999999999</c:v>
                </c:pt>
                <c:pt idx="6">
                  <c:v>0.29400900000000002</c:v>
                </c:pt>
                <c:pt idx="7">
                  <c:v>0.27748800000000001</c:v>
                </c:pt>
                <c:pt idx="8">
                  <c:v>0.28856799999999999</c:v>
                </c:pt>
                <c:pt idx="9">
                  <c:v>0.27497500000000002</c:v>
                </c:pt>
                <c:pt idx="10">
                  <c:v>0.25442500000000001</c:v>
                </c:pt>
                <c:pt idx="11">
                  <c:v>0.29023300000000002</c:v>
                </c:pt>
                <c:pt idx="12">
                  <c:v>0.27610800000000002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258.29191300000002</c:v>
                </c:pt>
                <c:pt idx="1">
                  <c:v>244.42555600000003</c:v>
                </c:pt>
                <c:pt idx="2">
                  <c:v>215.54708500000001</c:v>
                </c:pt>
                <c:pt idx="3">
                  <c:v>238.315326</c:v>
                </c:pt>
                <c:pt idx="4">
                  <c:v>264.80231099999997</c:v>
                </c:pt>
                <c:pt idx="5">
                  <c:v>286.046403</c:v>
                </c:pt>
                <c:pt idx="6">
                  <c:v>308.95133199999998</c:v>
                </c:pt>
                <c:pt idx="7">
                  <c:v>271.88252899999998</c:v>
                </c:pt>
                <c:pt idx="8">
                  <c:v>312.87680900000004</c:v>
                </c:pt>
                <c:pt idx="9">
                  <c:v>282.44358199999999</c:v>
                </c:pt>
                <c:pt idx="10">
                  <c:v>296.20417700000002</c:v>
                </c:pt>
                <c:pt idx="11">
                  <c:v>261.84115199999997</c:v>
                </c:pt>
                <c:pt idx="12">
                  <c:v>260.1001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265.37271800000002</c:v>
                </c:pt>
                <c:pt idx="1">
                  <c:v>303.45663500000001</c:v>
                </c:pt>
                <c:pt idx="2">
                  <c:v>283.58392400000002</c:v>
                </c:pt>
                <c:pt idx="3">
                  <c:v>295.51749599999999</c:v>
                </c:pt>
                <c:pt idx="4">
                  <c:v>269.79137200000002</c:v>
                </c:pt>
                <c:pt idx="5">
                  <c:v>285.29845599999999</c:v>
                </c:pt>
                <c:pt idx="6">
                  <c:v>305.38632699999999</c:v>
                </c:pt>
                <c:pt idx="7">
                  <c:v>309.74341800000002</c:v>
                </c:pt>
                <c:pt idx="8">
                  <c:v>347.66188299999999</c:v>
                </c:pt>
                <c:pt idx="9">
                  <c:v>279.418815</c:v>
                </c:pt>
                <c:pt idx="10">
                  <c:v>289.33312999999998</c:v>
                </c:pt>
                <c:pt idx="11">
                  <c:v>284.83144399999998</c:v>
                </c:pt>
                <c:pt idx="12">
                  <c:v>279.54366599999997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1.7525280000000001</c:v>
                </c:pt>
                <c:pt idx="1">
                  <c:v>1.9171739999999999</c:v>
                </c:pt>
                <c:pt idx="2">
                  <c:v>2.44956</c:v>
                </c:pt>
                <c:pt idx="3">
                  <c:v>3.5629430000000002</c:v>
                </c:pt>
                <c:pt idx="4">
                  <c:v>3.5176750000000001</c:v>
                </c:pt>
                <c:pt idx="5">
                  <c:v>2.0750950000000001</c:v>
                </c:pt>
                <c:pt idx="6">
                  <c:v>1.3500719999999999</c:v>
                </c:pt>
                <c:pt idx="7">
                  <c:v>1.1694089999999999</c:v>
                </c:pt>
                <c:pt idx="8">
                  <c:v>0.36710399999999999</c:v>
                </c:pt>
                <c:pt idx="9">
                  <c:v>1.6495040000000001</c:v>
                </c:pt>
                <c:pt idx="10">
                  <c:v>0.82934099999999999</c:v>
                </c:pt>
                <c:pt idx="11">
                  <c:v>1.5724450000000001</c:v>
                </c:pt>
                <c:pt idx="12">
                  <c:v>1.573337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120.73900500000001</c:v>
                </c:pt>
                <c:pt idx="1">
                  <c:v>116.96555499999999</c:v>
                </c:pt>
                <c:pt idx="2">
                  <c:v>160.356527</c:v>
                </c:pt>
                <c:pt idx="3">
                  <c:v>181.49906899999999</c:v>
                </c:pt>
                <c:pt idx="4">
                  <c:v>185.782734</c:v>
                </c:pt>
                <c:pt idx="5">
                  <c:v>123.26133799999999</c:v>
                </c:pt>
                <c:pt idx="6">
                  <c:v>85.078937999999994</c:v>
                </c:pt>
                <c:pt idx="7">
                  <c:v>102.221262</c:v>
                </c:pt>
                <c:pt idx="8">
                  <c:v>37.913117999999997</c:v>
                </c:pt>
                <c:pt idx="9">
                  <c:v>132.72816599999999</c:v>
                </c:pt>
                <c:pt idx="10">
                  <c:v>42.685206000000001</c:v>
                </c:pt>
                <c:pt idx="11">
                  <c:v>131.43829199999999</c:v>
                </c:pt>
                <c:pt idx="12">
                  <c:v>103.68509299999999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26.39603</c:v>
                </c:pt>
                <c:pt idx="1">
                  <c:v>32.971663999999997</c:v>
                </c:pt>
                <c:pt idx="2">
                  <c:v>30.752493999999999</c:v>
                </c:pt>
                <c:pt idx="3">
                  <c:v>34.434815</c:v>
                </c:pt>
                <c:pt idx="4">
                  <c:v>32.263370000000002</c:v>
                </c:pt>
                <c:pt idx="5">
                  <c:v>26.538736</c:v>
                </c:pt>
                <c:pt idx="6">
                  <c:v>26.753266</c:v>
                </c:pt>
                <c:pt idx="7">
                  <c:v>23.169461999999999</c:v>
                </c:pt>
                <c:pt idx="8">
                  <c:v>19.006923</c:v>
                </c:pt>
                <c:pt idx="9">
                  <c:v>22.065138000000001</c:v>
                </c:pt>
                <c:pt idx="10">
                  <c:v>20.222797</c:v>
                </c:pt>
                <c:pt idx="11">
                  <c:v>32.125762000000002</c:v>
                </c:pt>
                <c:pt idx="12">
                  <c:v>29.890439000000001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abr.-22</c:v>
                </c:pt>
                <c:pt idx="1">
                  <c:v>may.-22</c:v>
                </c:pt>
                <c:pt idx="2">
                  <c:v>jun.-22</c:v>
                </c:pt>
                <c:pt idx="3">
                  <c:v>jul.-22</c:v>
                </c:pt>
                <c:pt idx="4">
                  <c:v>ago.-22</c:v>
                </c:pt>
                <c:pt idx="5">
                  <c:v>sep.-22</c:v>
                </c:pt>
                <c:pt idx="6">
                  <c:v>oct.-22</c:v>
                </c:pt>
                <c:pt idx="7">
                  <c:v>nov.-22</c:v>
                </c:pt>
                <c:pt idx="8">
                  <c:v>dic.-22</c:v>
                </c:pt>
                <c:pt idx="9">
                  <c:v>ene.-23</c:v>
                </c:pt>
                <c:pt idx="10">
                  <c:v>feb.-23</c:v>
                </c:pt>
                <c:pt idx="11">
                  <c:v>mar.-23</c:v>
                </c:pt>
                <c:pt idx="12">
                  <c:v>abr.-23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0.61352399999999996</c:v>
                </c:pt>
                <c:pt idx="1">
                  <c:v>0.72146399999999999</c:v>
                </c:pt>
                <c:pt idx="2">
                  <c:v>0.696106</c:v>
                </c:pt>
                <c:pt idx="3">
                  <c:v>0.688222</c:v>
                </c:pt>
                <c:pt idx="4">
                  <c:v>0.71531400000000001</c:v>
                </c:pt>
                <c:pt idx="5">
                  <c:v>0.714812</c:v>
                </c:pt>
                <c:pt idx="6">
                  <c:v>0.73132799999999998</c:v>
                </c:pt>
                <c:pt idx="7">
                  <c:v>0.76498500000000003</c:v>
                </c:pt>
                <c:pt idx="8">
                  <c:v>0.78453200000000001</c:v>
                </c:pt>
                <c:pt idx="9">
                  <c:v>0.78413299999999997</c:v>
                </c:pt>
                <c:pt idx="10">
                  <c:v>0.71108700000000002</c:v>
                </c:pt>
                <c:pt idx="11">
                  <c:v>0.73842799999999997</c:v>
                </c:pt>
                <c:pt idx="12">
                  <c:v>0.63095199999999996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Abril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G9" sqref="G9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Abril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47</v>
      </c>
      <c r="E7" s="69"/>
      <c r="F7" s="185" t="str">
        <f>K3</f>
        <v>Abril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403.39525600000002</v>
      </c>
      <c r="G9" s="147">
        <f>Dat_01!T24*100</f>
        <v>-7.5362295100000001</v>
      </c>
      <c r="H9" s="75">
        <f>Dat_01!U24/1000</f>
        <v>1698.3837530000001</v>
      </c>
      <c r="I9" s="147">
        <f>Dat_01!W24*100</f>
        <v>-2.4068981900000002</v>
      </c>
      <c r="J9" s="75">
        <f>Dat_01!X24/1000</f>
        <v>5999.06142</v>
      </c>
      <c r="K9" s="147">
        <f>Dat_01!Y24*100</f>
        <v>6.2345801500000002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0.38</v>
      </c>
      <c r="H12" s="94"/>
      <c r="I12" s="94">
        <f>Dat_01!H152*100</f>
        <v>0.35500000000000004</v>
      </c>
      <c r="J12" s="94"/>
      <c r="K12" s="94">
        <f>Dat_01!L152*100</f>
        <v>0.28600000000000003</v>
      </c>
    </row>
    <row r="13" spans="3:12">
      <c r="E13" s="77" t="s">
        <v>42</v>
      </c>
      <c r="F13" s="76"/>
      <c r="G13" s="94">
        <f>Dat_01!E152*100</f>
        <v>-3.3099999999999996</v>
      </c>
      <c r="H13" s="94"/>
      <c r="I13" s="94">
        <f>Dat_01!I152*100</f>
        <v>-0.58900000000000008</v>
      </c>
      <c r="J13" s="94"/>
      <c r="K13" s="94">
        <f>Dat_01!M152*100</f>
        <v>-0.88200000000000001</v>
      </c>
    </row>
    <row r="14" spans="3:12">
      <c r="E14" s="78" t="s">
        <v>43</v>
      </c>
      <c r="F14" s="79"/>
      <c r="G14" s="95">
        <f>Dat_01!F152*100</f>
        <v>-4.6059999999999999</v>
      </c>
      <c r="H14" s="95"/>
      <c r="I14" s="95">
        <f>Dat_01!J152*100</f>
        <v>-2.173</v>
      </c>
      <c r="J14" s="95"/>
      <c r="K14" s="95">
        <f>Dat_01!N152*100</f>
        <v>6.8309999999999995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Abril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4" t="s">
        <v>48</v>
      </c>
      <c r="E7" s="69"/>
      <c r="F7" s="185" t="str">
        <f>K3</f>
        <v>Abril 2023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675.69969499999991</v>
      </c>
      <c r="G9" s="147">
        <f>Dat_01!AB24*100</f>
        <v>0.3355764</v>
      </c>
      <c r="H9" s="75">
        <f>Dat_01!AC24/1000</f>
        <v>2758.1419270000001</v>
      </c>
      <c r="I9" s="147">
        <f>Dat_01!AE24*100</f>
        <v>0.34860928000000002</v>
      </c>
      <c r="J9" s="75">
        <f>Dat_01!AF24/1000</f>
        <v>8544.9400370000003</v>
      </c>
      <c r="K9" s="147">
        <f>Dat_01!AG24*100</f>
        <v>2.4897689500000002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-0.13100000000000001</v>
      </c>
      <c r="H12" s="94"/>
      <c r="I12" s="94">
        <f>Dat_01!H158*100</f>
        <v>0.109</v>
      </c>
      <c r="J12" s="94"/>
      <c r="K12" s="94">
        <f>Dat_01!L158*100</f>
        <v>0.14499999999999999</v>
      </c>
    </row>
    <row r="13" spans="3:12">
      <c r="E13" s="77" t="s">
        <v>42</v>
      </c>
      <c r="F13" s="76"/>
      <c r="G13" s="94">
        <f>Dat_01!E158*100</f>
        <v>-3.0000000000000001E-3</v>
      </c>
      <c r="H13" s="94"/>
      <c r="I13" s="94">
        <f>Dat_01!I158*100</f>
        <v>4.4999999999999998E-2</v>
      </c>
      <c r="J13" s="94"/>
      <c r="K13" s="94">
        <f>Dat_01!M158*100</f>
        <v>0.1</v>
      </c>
    </row>
    <row r="14" spans="3:12">
      <c r="E14" s="78" t="s">
        <v>43</v>
      </c>
      <c r="F14" s="79"/>
      <c r="G14" s="95">
        <f>Dat_01!F158*100</f>
        <v>0.47000000000000003</v>
      </c>
      <c r="H14" s="95"/>
      <c r="I14" s="95">
        <f>Dat_01!J158*100</f>
        <v>0.19499999999999998</v>
      </c>
      <c r="J14" s="95"/>
      <c r="K14" s="95">
        <f>Dat_01!N158*100</f>
        <v>2.2450000000000001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128</v>
      </c>
    </row>
    <row r="2" spans="1:2">
      <c r="A2" t="s">
        <v>123</v>
      </c>
    </row>
    <row r="3" spans="1:2">
      <c r="A3" t="s">
        <v>124</v>
      </c>
    </row>
    <row r="4" spans="1:2">
      <c r="A4" t="s">
        <v>126</v>
      </c>
    </row>
    <row r="5" spans="1:2">
      <c r="A5" t="s">
        <v>127</v>
      </c>
    </row>
    <row r="6" spans="1:2">
      <c r="A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P19" sqref="P19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Abril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88" t="s">
        <v>18</v>
      </c>
      <c r="E7" s="26"/>
      <c r="F7" s="189" t="s">
        <v>17</v>
      </c>
      <c r="G7" s="190"/>
      <c r="H7" s="189" t="s">
        <v>16</v>
      </c>
      <c r="I7" s="190"/>
      <c r="J7" s="189" t="s">
        <v>15</v>
      </c>
      <c r="K7" s="190"/>
      <c r="L7" s="189" t="s">
        <v>14</v>
      </c>
      <c r="M7" s="190"/>
    </row>
    <row r="8" spans="3:23" s="23" customFormat="1" ht="12.75" customHeight="1">
      <c r="C8" s="188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0.27610800000000002</v>
      </c>
      <c r="I9" s="14">
        <f>IF(Dat_01!AB8*100=-100,"-",Dat_01!AB8*100)</f>
        <v>0.74287049000000005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1.573337</v>
      </c>
      <c r="I10" s="14">
        <f>Dat_01!AB15*100</f>
        <v>-10.224715380000001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0.12734499999999999</v>
      </c>
      <c r="G11" s="14">
        <f>Dat_01!T16*100</f>
        <v>-46.89267186</v>
      </c>
      <c r="H11" s="138">
        <f>Dat_01!Z16/1000</f>
        <v>103.68509299999999</v>
      </c>
      <c r="I11" s="14">
        <f>Dat_01!AB16*100</f>
        <v>-14.1246087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36.519029000000003</v>
      </c>
      <c r="G12" s="14">
        <f>Dat_01!T17*100</f>
        <v>62.678541330000002</v>
      </c>
      <c r="H12" s="138">
        <f>Dat_01!Z17/1000</f>
        <v>29.890438999999997</v>
      </c>
      <c r="I12" s="14">
        <f>Dat_01!AB17*100</f>
        <v>13.238388500000001</v>
      </c>
      <c r="J12" s="138" t="s">
        <v>3</v>
      </c>
      <c r="K12" s="14" t="s">
        <v>3</v>
      </c>
      <c r="L12" s="138">
        <f>Dat_01!J17/1000</f>
        <v>7.9279999999999993E-3</v>
      </c>
      <c r="M12" s="14">
        <f>IF(Dat_01!L17*100=-100,"-",Dat_01!L17*100)</f>
        <v>10.279593820000001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7.399E-2</v>
      </c>
      <c r="G13" s="14">
        <f>Dat_01!T18*100</f>
        <v>-55.243020899999998</v>
      </c>
      <c r="H13" s="138">
        <f>Dat_01!Z18/1000</f>
        <v>0.63095199999999996</v>
      </c>
      <c r="I13" s="14">
        <f>IF(Dat_01!AB18*100=-100,"-",Dat_01!AB18*100)</f>
        <v>2.8406386700000001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10.65733</v>
      </c>
      <c r="G14" s="14">
        <f>Dat_01!T21*100</f>
        <v>36.54481964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0.5241285</v>
      </c>
      <c r="M14" s="14">
        <f>Dat_01!L21*100</f>
        <v>93.104648850000004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47.377694000000005</v>
      </c>
      <c r="G15" s="156">
        <f>((SUM(Dat_01!R8,Dat_01!R15:R18,Dat_01!R20)/SUM(Dat_01!S8,Dat_01!S15:S18,Dat_01!S20))-1)*100</f>
        <v>54.532665646662302</v>
      </c>
      <c r="H15" s="155">
        <f>SUM(H9:H14)</f>
        <v>136.05592899999999</v>
      </c>
      <c r="I15" s="156">
        <f>((SUM(Dat_01!Z8,Dat_01!Z15:Z18,Dat_01!Z20)/SUM(Dat_01!AA8,Dat_01!AA15:AA18,Dat_01!AA20))-1)*100</f>
        <v>-9.159883449030426</v>
      </c>
      <c r="J15" s="155" t="s">
        <v>3</v>
      </c>
      <c r="K15" s="156" t="s">
        <v>3</v>
      </c>
      <c r="L15" s="156">
        <f>SUM(L9:L14)</f>
        <v>0.53205650000000004</v>
      </c>
      <c r="M15" s="156">
        <f>((SUM(Dat_01!J8,Dat_01!J15:J18,Dat_01!J21)/SUM(Dat_01!K8,Dat_01!K15:K18,Dat_01!K20))-1)*100</f>
        <v>90.967513845469099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-0.60865999999999998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7.134449</v>
      </c>
      <c r="G17" s="20">
        <f>((SUM(Dat_01!R10,Dat_01!R14)/SUM(Dat_01!S10,Dat_01!S14))-1)*100</f>
        <v>-81.508889066744402</v>
      </c>
      <c r="H17" s="139">
        <f>SUM(Dat_01!Z10,Dat_01!Z14)/1000</f>
        <v>149.84285</v>
      </c>
      <c r="I17" s="20">
        <f>((SUM(Dat_01!Z10,Dat_01!Z14)/SUM(Dat_01!AA10,Dat_01!AA14))-1)*100</f>
        <v>9.3249632939516047</v>
      </c>
      <c r="J17" s="139">
        <f>Dat_01!B10/1000</f>
        <v>13.776183000000001</v>
      </c>
      <c r="K17" s="20">
        <f>Dat_01!D10*100</f>
        <v>-10.769902500000001</v>
      </c>
      <c r="L17" s="139">
        <f>Dat_01!J10/1000</f>
        <v>13.403493000000001</v>
      </c>
      <c r="M17" s="20">
        <f>Dat_01!L10*100</f>
        <v>-4.3720274300000002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29.442580000000003</v>
      </c>
      <c r="G18" s="20">
        <f>Dat_01!T11*100</f>
        <v>73.972013879999992</v>
      </c>
      <c r="H18" s="139">
        <f>Dat_01!Z11/1000</f>
        <v>21.092299000000001</v>
      </c>
      <c r="I18" s="20">
        <f>Dat_01!AB11*100</f>
        <v>19.885746390000001</v>
      </c>
      <c r="J18" s="139">
        <f>Dat_01!B11/1000</f>
        <v>4.7720000000000002E-3</v>
      </c>
      <c r="K18" s="20">
        <f>IF(Dat_01!D11=-100%,"-",Dat_01!D11*100)</f>
        <v>113.99103139</v>
      </c>
      <c r="L18" s="139">
        <f>Dat_01!J11/1000</f>
        <v>1.6659999999999999E-3</v>
      </c>
      <c r="M18" s="20">
        <f>IF(Dat_01!L11*100=-100,"-",Dat_01!L11*100)</f>
        <v>-96.839789070000009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89.164951000000002</v>
      </c>
      <c r="I19" s="20">
        <f>Dat_01!AB12*100</f>
        <v>-13.96364573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36.577029000000003</v>
      </c>
      <c r="G20" s="14">
        <f>((SUM(Dat_01!R10:R12,Dat_01!R14)/SUM(Dat_01!S10:S12,Dat_01!S14))-1)*100</f>
        <v>-34.103603710481032</v>
      </c>
      <c r="H20" s="138">
        <f>SUM(H17:H19)</f>
        <v>260.1001</v>
      </c>
      <c r="I20" s="14">
        <f>(H20/(H17/(I17/100+1)+H18/(I18/100+1)+H19/(I19/100+1))-1)*100</f>
        <v>0.70005560155450564</v>
      </c>
      <c r="J20" s="138">
        <f>SUM(J17:J19)</f>
        <v>13.780955000000002</v>
      </c>
      <c r="K20" s="14">
        <f>((SUM(Dat_01!B10:B12)/SUM(Dat_01!C10:C12))-1)*100</f>
        <v>-10.751884636736108</v>
      </c>
      <c r="L20" s="138">
        <f>SUM(L17:L19)</f>
        <v>13.405159000000001</v>
      </c>
      <c r="M20" s="14">
        <f>((SUM(Dat_01!J10:J12)/SUM(Dat_01!K10:K12))-1)*100</f>
        <v>-4.7185135383044585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207.738203</v>
      </c>
      <c r="G21" s="14">
        <f>Dat_01!T13*100</f>
        <v>-32.427265689999999</v>
      </c>
      <c r="H21" s="138">
        <f>Dat_01!Z13/1000</f>
        <v>279.54366600000003</v>
      </c>
      <c r="I21" s="14">
        <f>Dat_01!AB13*100</f>
        <v>5.3400169000000002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3.6202460000000003</v>
      </c>
      <c r="G22" s="14">
        <f>Dat_01!T19*100</f>
        <v>96.894071120000007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10.65733</v>
      </c>
      <c r="G23" s="14">
        <f>Dat_01!T20*100</f>
        <v>36.54481964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0.5241285</v>
      </c>
      <c r="M23" s="14">
        <f>Dat_01!L20*100</f>
        <v>93.104648850000004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257.984148</v>
      </c>
      <c r="G24" s="156">
        <f>((SUM(Dat_01!R9:R14,Dat_01!R19,Dat_01!R21)/SUM(Dat_01!S9:S14,Dat_01!S19,Dat_01!S21))-1)*100</f>
        <v>-30.644594549517358</v>
      </c>
      <c r="H24" s="140">
        <f>SUM(H16,H20:H23)</f>
        <v>539.64376600000003</v>
      </c>
      <c r="I24" s="156">
        <f>((SUM(Dat_01!Z9:Z14,Dat_01!Z19,Dat_01!Z21)/SUM(Dat_01!AA9:AA14,Dat_01!AA19,Dat_01!AA21))-1)*100</f>
        <v>3.051406196650297</v>
      </c>
      <c r="J24" s="140">
        <f>SUM(J16,J20:J23)</f>
        <v>13.780955000000002</v>
      </c>
      <c r="K24" s="156">
        <f>((SUM(Dat_01!B9:B14,Dat_01!B19,Dat_01!B21)/SUM(Dat_01!C9:C14,Dat_01!C19,Dat_01!C21))-1)*100</f>
        <v>-10.751884636736108</v>
      </c>
      <c r="L24" s="140">
        <f>SUM(L16,L20:L23)</f>
        <v>13.929287500000001</v>
      </c>
      <c r="M24" s="156">
        <f>((SUM(Dat_01!J9:J14,Dat_01!J19,Dat_01!J21)/SUM(Dat_01!K9:K14,Dat_01!K19,Dat_01!K21))-1)*100</f>
        <v>-2.8670097665837058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98.033414000000008</v>
      </c>
      <c r="G25" s="11">
        <f>Dat_01!T23*100</f>
        <v>191.41001179999998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403.39525600000002</v>
      </c>
      <c r="G26" s="8">
        <f>Dat_01!T24*100</f>
        <v>-7.5362295100000001</v>
      </c>
      <c r="H26" s="142">
        <f>Dat_01!Z24/1000</f>
        <v>675.69969499999991</v>
      </c>
      <c r="I26" s="8">
        <f>Dat_01!AB24*100</f>
        <v>0.3355764</v>
      </c>
      <c r="J26" s="142">
        <f>Dat_01!B24/1000</f>
        <v>13.780955000000001</v>
      </c>
      <c r="K26" s="8">
        <f>Dat_01!D24*100</f>
        <v>-10.75188464</v>
      </c>
      <c r="L26" s="142">
        <f>Dat_01!J24/1000</f>
        <v>14.461343999999999</v>
      </c>
      <c r="M26" s="8">
        <f>Dat_01!L24*100</f>
        <v>-1.0787028400000001</v>
      </c>
      <c r="N26" s="7"/>
      <c r="O26" s="7"/>
    </row>
    <row r="27" spans="3:23" ht="16.350000000000001" customHeight="1">
      <c r="C27" s="10"/>
      <c r="E27" s="193" t="s">
        <v>56</v>
      </c>
      <c r="F27" s="193"/>
      <c r="G27" s="193"/>
      <c r="H27" s="193"/>
      <c r="I27" s="193"/>
      <c r="J27" s="193"/>
      <c r="K27" s="193"/>
      <c r="L27" s="153"/>
      <c r="M27" s="154"/>
      <c r="N27" s="7"/>
      <c r="O27" s="7"/>
    </row>
    <row r="28" spans="3:23" ht="34.5" customHeight="1">
      <c r="C28" s="10"/>
      <c r="E28" s="194" t="s">
        <v>105</v>
      </c>
      <c r="F28" s="194"/>
      <c r="G28" s="194"/>
      <c r="H28" s="194"/>
      <c r="I28" s="194"/>
      <c r="J28" s="194"/>
      <c r="K28" s="194"/>
      <c r="L28" s="194"/>
      <c r="M28" s="194"/>
      <c r="N28" s="7"/>
      <c r="O28" s="7"/>
    </row>
    <row r="29" spans="3:23" ht="12.75" customHeight="1">
      <c r="C29" s="3"/>
      <c r="D29" s="3"/>
      <c r="E29" s="192" t="s">
        <v>0</v>
      </c>
      <c r="F29" s="192"/>
      <c r="G29" s="192"/>
      <c r="H29" s="192"/>
      <c r="I29" s="192"/>
      <c r="J29" s="192"/>
      <c r="K29" s="192"/>
      <c r="L29" s="192"/>
      <c r="M29" s="192"/>
      <c r="O29" s="6"/>
    </row>
    <row r="30" spans="3:23" ht="12.75" customHeight="1">
      <c r="E30" s="191" t="s">
        <v>82</v>
      </c>
      <c r="F30" s="191"/>
      <c r="G30" s="191"/>
      <c r="H30" s="191"/>
      <c r="I30" s="191"/>
      <c r="J30" s="191"/>
      <c r="K30" s="191"/>
      <c r="L30" s="191"/>
      <c r="M30" s="191"/>
    </row>
    <row r="31" spans="3:23" ht="12.75" customHeight="1">
      <c r="C31" s="3"/>
      <c r="D31" s="3"/>
      <c r="E31" s="191" t="s">
        <v>85</v>
      </c>
      <c r="F31" s="191"/>
      <c r="G31" s="191"/>
      <c r="H31" s="191"/>
      <c r="I31" s="191"/>
      <c r="J31" s="191"/>
      <c r="K31" s="191"/>
      <c r="L31" s="191"/>
      <c r="M31" s="191"/>
    </row>
    <row r="32" spans="3:23" ht="12.75" customHeight="1">
      <c r="E32" s="191" t="s">
        <v>86</v>
      </c>
      <c r="F32" s="191"/>
      <c r="G32" s="191"/>
      <c r="H32" s="191"/>
      <c r="I32" s="191"/>
      <c r="J32" s="191"/>
      <c r="K32" s="191"/>
      <c r="L32" s="191"/>
      <c r="M32" s="191"/>
    </row>
    <row r="33" spans="3:13" ht="12.75" customHeight="1">
      <c r="E33" s="191"/>
      <c r="F33" s="191"/>
      <c r="G33" s="191"/>
      <c r="H33" s="191"/>
      <c r="I33" s="191"/>
      <c r="J33" s="191"/>
      <c r="K33" s="191"/>
      <c r="L33" s="191"/>
      <c r="M33" s="191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I29" sqref="I29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Abril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31</v>
      </c>
      <c r="D7" s="39"/>
      <c r="E7" s="43"/>
    </row>
    <row r="8" spans="2:12" s="33" customFormat="1" ht="12.75" customHeight="1">
      <c r="B8" s="41"/>
      <c r="C8" s="195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5" t="s">
        <v>28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Abril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32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G24" sqref="G24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Abril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5" t="s">
        <v>35</v>
      </c>
      <c r="D7" s="39"/>
      <c r="E7" s="43"/>
    </row>
    <row r="8" spans="2:12" s="33" customFormat="1" ht="12.75" customHeight="1">
      <c r="B8" s="41"/>
      <c r="C8" s="195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5" t="s">
        <v>49</v>
      </c>
      <c r="E24" s="37"/>
      <c r="J24" s="33"/>
      <c r="K24" s="33"/>
    </row>
    <row r="25" spans="2:12">
      <c r="C25" s="195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Abril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6" t="s">
        <v>36</v>
      </c>
      <c r="D7" s="58"/>
      <c r="E7" s="62"/>
    </row>
    <row r="8" spans="1:20" ht="12.75" customHeight="1">
      <c r="A8" s="61"/>
      <c r="B8" s="60"/>
      <c r="C8" s="196"/>
      <c r="D8" s="58"/>
      <c r="E8" s="62"/>
      <c r="F8" s="57"/>
    </row>
    <row r="9" spans="1:20" ht="12.75" customHeight="1">
      <c r="A9" s="61"/>
      <c r="B9" s="60"/>
      <c r="C9" s="196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>
      <selection activeCell="D68" sqref="D68:D79"/>
    </sheetView>
  </sheetViews>
  <sheetFormatPr baseColWidth="10" defaultColWidth="11.42578125" defaultRowHeight="12"/>
  <cols>
    <col min="1" max="1" width="8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121</v>
      </c>
      <c r="B2" s="133" t="s">
        <v>122</v>
      </c>
    </row>
    <row r="4" spans="1:33" ht="15">
      <c r="A4" s="134" t="s">
        <v>67</v>
      </c>
      <c r="B4" s="197" t="s">
        <v>121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 spans="1:33" ht="15">
      <c r="A5" s="134" t="s">
        <v>68</v>
      </c>
      <c r="B5" s="199" t="s">
        <v>15</v>
      </c>
      <c r="C5" s="200"/>
      <c r="D5" s="200"/>
      <c r="E5" s="200"/>
      <c r="F5" s="200"/>
      <c r="G5" s="200"/>
      <c r="H5" s="200"/>
      <c r="I5" s="201"/>
      <c r="J5" s="199" t="s">
        <v>14</v>
      </c>
      <c r="K5" s="200"/>
      <c r="L5" s="200"/>
      <c r="M5" s="200"/>
      <c r="N5" s="200"/>
      <c r="O5" s="200"/>
      <c r="P5" s="200"/>
      <c r="Q5" s="201"/>
      <c r="R5" s="199" t="s">
        <v>57</v>
      </c>
      <c r="S5" s="200"/>
      <c r="T5" s="200"/>
      <c r="U5" s="200"/>
      <c r="V5" s="200"/>
      <c r="W5" s="200"/>
      <c r="X5" s="200"/>
      <c r="Y5" s="201"/>
      <c r="Z5" s="199" t="s">
        <v>58</v>
      </c>
      <c r="AA5" s="200"/>
      <c r="AB5" s="200"/>
      <c r="AC5" s="200"/>
      <c r="AD5" s="200"/>
      <c r="AE5" s="200"/>
      <c r="AF5" s="200"/>
      <c r="AG5" s="200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276.108</v>
      </c>
      <c r="AA8" s="171">
        <v>274.072</v>
      </c>
      <c r="AB8" s="172">
        <v>7.4287049000000003E-3</v>
      </c>
      <c r="AC8" s="171">
        <v>1095.741</v>
      </c>
      <c r="AD8" s="171">
        <v>1115.3130000000001</v>
      </c>
      <c r="AE8" s="172">
        <v>-1.7548437100000001E-2</v>
      </c>
      <c r="AF8" s="171">
        <v>3411.9229999999998</v>
      </c>
      <c r="AG8" s="172">
        <v>7.2137435299999997E-2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-608.66</v>
      </c>
      <c r="S9" s="171">
        <v>-605.48299999999995</v>
      </c>
      <c r="T9" s="172">
        <v>5.2470507000000003E-3</v>
      </c>
      <c r="U9" s="171">
        <v>-2561.6909999999998</v>
      </c>
      <c r="V9" s="171">
        <v>-2481.9499999999998</v>
      </c>
      <c r="W9" s="172">
        <v>3.2128366800000002E-2</v>
      </c>
      <c r="X9" s="171">
        <v>78572.464000000007</v>
      </c>
      <c r="Y9" s="172">
        <v>0.76161747150000003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13776.183000000001</v>
      </c>
      <c r="C10" s="171">
        <v>15438.941999999999</v>
      </c>
      <c r="D10" s="172">
        <v>-0.107699025</v>
      </c>
      <c r="E10" s="171">
        <v>61482.031999999999</v>
      </c>
      <c r="F10" s="171">
        <v>65015.457000000002</v>
      </c>
      <c r="G10" s="172">
        <v>-5.4347460799999997E-2</v>
      </c>
      <c r="H10" s="171">
        <v>191387.34</v>
      </c>
      <c r="I10" s="172">
        <v>-3.0940849699999998E-2</v>
      </c>
      <c r="J10" s="171">
        <v>13403.493</v>
      </c>
      <c r="K10" s="171">
        <v>14016.289000000001</v>
      </c>
      <c r="L10" s="172">
        <v>-4.37202743E-2</v>
      </c>
      <c r="M10" s="171">
        <v>57033.77</v>
      </c>
      <c r="N10" s="171">
        <v>58655.438000000002</v>
      </c>
      <c r="O10" s="172">
        <v>-2.76473598E-2</v>
      </c>
      <c r="P10" s="171">
        <v>182951.19899999999</v>
      </c>
      <c r="Q10" s="172">
        <v>-4.3147103999999999E-2</v>
      </c>
      <c r="R10" s="171">
        <v>7134.4489999999996</v>
      </c>
      <c r="S10" s="171">
        <v>38583.127999999997</v>
      </c>
      <c r="T10" s="172">
        <v>-0.81508889070000001</v>
      </c>
      <c r="U10" s="171">
        <v>33380.396999999997</v>
      </c>
      <c r="V10" s="171">
        <v>124426.878</v>
      </c>
      <c r="W10" s="172">
        <v>-0.73172679780000005</v>
      </c>
      <c r="X10" s="171">
        <v>310369.32400000002</v>
      </c>
      <c r="Y10" s="172">
        <v>-0.30223339170000002</v>
      </c>
      <c r="Z10" s="171">
        <v>149855.777</v>
      </c>
      <c r="AA10" s="171">
        <v>137061.88</v>
      </c>
      <c r="AB10" s="172">
        <v>9.3343947999999996E-2</v>
      </c>
      <c r="AC10" s="171">
        <v>592056.51599999995</v>
      </c>
      <c r="AD10" s="171">
        <v>560154.56200000003</v>
      </c>
      <c r="AE10" s="172">
        <v>5.6952056000000001E-2</v>
      </c>
      <c r="AF10" s="171">
        <v>1787141.9820000001</v>
      </c>
      <c r="AG10" s="172">
        <v>1.82347034E-2</v>
      </c>
    </row>
    <row r="11" spans="1:33">
      <c r="A11" s="133" t="s">
        <v>9</v>
      </c>
      <c r="B11" s="171">
        <v>4.7720000000000002</v>
      </c>
      <c r="C11" s="171">
        <v>2.23</v>
      </c>
      <c r="D11" s="172">
        <v>1.1399103139</v>
      </c>
      <c r="E11" s="171">
        <v>27.733000000000001</v>
      </c>
      <c r="F11" s="171">
        <v>43.496000000000002</v>
      </c>
      <c r="G11" s="172">
        <v>-0.36240114029999998</v>
      </c>
      <c r="H11" s="171">
        <v>462.76799999999997</v>
      </c>
      <c r="I11" s="172">
        <v>1.0640672251000001</v>
      </c>
      <c r="J11" s="171">
        <v>1.6659999999999999</v>
      </c>
      <c r="K11" s="171">
        <v>52.718000000000004</v>
      </c>
      <c r="L11" s="172">
        <v>-0.96839789070000004</v>
      </c>
      <c r="M11" s="171">
        <v>9.3079999999999998</v>
      </c>
      <c r="N11" s="171">
        <v>58.027999999999999</v>
      </c>
      <c r="O11" s="172">
        <v>-0.83959467840000002</v>
      </c>
      <c r="P11" s="171">
        <v>51.171999999999997</v>
      </c>
      <c r="Q11" s="172">
        <v>-0.3540112352</v>
      </c>
      <c r="R11" s="171">
        <v>29442.58</v>
      </c>
      <c r="S11" s="171">
        <v>16923.744999999999</v>
      </c>
      <c r="T11" s="172">
        <v>0.73972013879999998</v>
      </c>
      <c r="U11" s="171">
        <v>145689.027</v>
      </c>
      <c r="V11" s="171">
        <v>59818.625</v>
      </c>
      <c r="W11" s="172">
        <v>1.4355128022000001</v>
      </c>
      <c r="X11" s="171">
        <v>481778.37900000002</v>
      </c>
      <c r="Y11" s="172">
        <v>1.0377750016</v>
      </c>
      <c r="Z11" s="171">
        <v>21092.298999999999</v>
      </c>
      <c r="AA11" s="171">
        <v>17593.667000000001</v>
      </c>
      <c r="AB11" s="172">
        <v>0.1988574639</v>
      </c>
      <c r="AC11" s="171">
        <v>79656.361000000004</v>
      </c>
      <c r="AD11" s="171">
        <v>82288.606</v>
      </c>
      <c r="AE11" s="172">
        <v>-3.1987964399999999E-2</v>
      </c>
      <c r="AF11" s="171">
        <v>258358.62899999999</v>
      </c>
      <c r="AG11" s="172">
        <v>0.1242209765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89164.951000000001</v>
      </c>
      <c r="AA12" s="171">
        <v>103636.36599999999</v>
      </c>
      <c r="AB12" s="172">
        <v>-0.13963645729999999</v>
      </c>
      <c r="AC12" s="171">
        <v>428926.63099999999</v>
      </c>
      <c r="AD12" s="171">
        <v>438107.77500000002</v>
      </c>
      <c r="AE12" s="172">
        <v>-2.0956359399999999E-2</v>
      </c>
      <c r="AF12" s="171">
        <v>1198051.92</v>
      </c>
      <c r="AG12" s="172">
        <v>3.8614609799999998E-2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207738.20300000001</v>
      </c>
      <c r="S13" s="171">
        <v>307429.03200000001</v>
      </c>
      <c r="T13" s="172">
        <v>-0.32427265690000001</v>
      </c>
      <c r="U13" s="171">
        <v>927862.255</v>
      </c>
      <c r="V13" s="171">
        <v>1287139.5630000001</v>
      </c>
      <c r="W13" s="172">
        <v>-0.27912847860000001</v>
      </c>
      <c r="X13" s="171">
        <v>3626403.0419999999</v>
      </c>
      <c r="Y13" s="172">
        <v>-6.91134365E-2</v>
      </c>
      <c r="Z13" s="171">
        <v>279543.66600000003</v>
      </c>
      <c r="AA13" s="171">
        <v>265372.71799999999</v>
      </c>
      <c r="AB13" s="172">
        <v>5.3400168999999997E-2</v>
      </c>
      <c r="AC13" s="171">
        <v>1133127.0549999999</v>
      </c>
      <c r="AD13" s="171">
        <v>1189571.0160000001</v>
      </c>
      <c r="AE13" s="172">
        <v>-4.7449004900000001E-2</v>
      </c>
      <c r="AF13" s="171">
        <v>3533566.5660000001</v>
      </c>
      <c r="AG13" s="172">
        <v>1.7144967899999999E-2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0</v>
      </c>
      <c r="T14" s="172">
        <v>0</v>
      </c>
      <c r="U14" s="171">
        <v>0</v>
      </c>
      <c r="V14" s="171">
        <v>0</v>
      </c>
      <c r="W14" s="172">
        <v>0</v>
      </c>
      <c r="X14" s="171">
        <v>12117.501</v>
      </c>
      <c r="Y14" s="172">
        <v>7.6034033000000004E-3</v>
      </c>
      <c r="Z14" s="171">
        <v>-12.927</v>
      </c>
      <c r="AA14" s="171">
        <v>0</v>
      </c>
      <c r="AB14" s="172">
        <v>0</v>
      </c>
      <c r="AC14" s="171">
        <v>-50.497</v>
      </c>
      <c r="AD14" s="171">
        <v>0</v>
      </c>
      <c r="AE14" s="172">
        <v>0</v>
      </c>
      <c r="AF14" s="171">
        <v>-116.169</v>
      </c>
      <c r="AG14" s="172">
        <v>0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1573.337</v>
      </c>
      <c r="AA15" s="171">
        <v>1752.528</v>
      </c>
      <c r="AB15" s="172">
        <v>-0.1022471538</v>
      </c>
      <c r="AC15" s="171">
        <v>5624.6270000000004</v>
      </c>
      <c r="AD15" s="171">
        <v>6471.8119999999999</v>
      </c>
      <c r="AE15" s="172">
        <v>-0.1309038334</v>
      </c>
      <c r="AF15" s="171">
        <v>22033.659</v>
      </c>
      <c r="AG15" s="172">
        <v>-0.1040695771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127.345</v>
      </c>
      <c r="S16" s="171">
        <v>239.78800000000001</v>
      </c>
      <c r="T16" s="172">
        <v>-0.46892671860000001</v>
      </c>
      <c r="U16" s="171">
        <v>726.66499999999996</v>
      </c>
      <c r="V16" s="171">
        <v>1022.126</v>
      </c>
      <c r="W16" s="172">
        <v>-0.28906514459999999</v>
      </c>
      <c r="X16" s="171">
        <v>1153.9090000000001</v>
      </c>
      <c r="Y16" s="172">
        <v>-0.502626503</v>
      </c>
      <c r="Z16" s="171">
        <v>103685.09299999999</v>
      </c>
      <c r="AA16" s="171">
        <v>120739.005</v>
      </c>
      <c r="AB16" s="172">
        <v>-0.14124608699999999</v>
      </c>
      <c r="AC16" s="171">
        <v>410536.75699999998</v>
      </c>
      <c r="AD16" s="171">
        <v>379356.48</v>
      </c>
      <c r="AE16" s="172">
        <v>8.2192551399999994E-2</v>
      </c>
      <c r="AF16" s="171">
        <v>1403615.298</v>
      </c>
      <c r="AG16" s="172">
        <v>-1.1138194400000001E-2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7.9279999999999999</v>
      </c>
      <c r="K17" s="171">
        <v>7.1890000000000001</v>
      </c>
      <c r="L17" s="172">
        <v>0.10279593820000001</v>
      </c>
      <c r="M17" s="171">
        <v>24.170999999999999</v>
      </c>
      <c r="N17" s="171">
        <v>21.872</v>
      </c>
      <c r="O17" s="172">
        <v>0.1051115582</v>
      </c>
      <c r="P17" s="171">
        <v>74.516999999999996</v>
      </c>
      <c r="Q17" s="172">
        <v>0.2247423697</v>
      </c>
      <c r="R17" s="171">
        <v>36519.029000000002</v>
      </c>
      <c r="S17" s="171">
        <v>22448.583999999999</v>
      </c>
      <c r="T17" s="172">
        <v>0.62678541330000004</v>
      </c>
      <c r="U17" s="171">
        <v>110672.15399999999</v>
      </c>
      <c r="V17" s="171">
        <v>68467.054000000004</v>
      </c>
      <c r="W17" s="172">
        <v>0.61642932669999995</v>
      </c>
      <c r="X17" s="171">
        <v>310924.62599999999</v>
      </c>
      <c r="Y17" s="172">
        <v>0.475753961</v>
      </c>
      <c r="Z17" s="171">
        <v>29890.438999999998</v>
      </c>
      <c r="AA17" s="171">
        <v>26396.03</v>
      </c>
      <c r="AB17" s="172">
        <v>0.13238388500000001</v>
      </c>
      <c r="AC17" s="171">
        <v>104304.136</v>
      </c>
      <c r="AD17" s="171">
        <v>88390.03</v>
      </c>
      <c r="AE17" s="172">
        <v>0.1800441294</v>
      </c>
      <c r="AF17" s="171">
        <v>330194.86599999998</v>
      </c>
      <c r="AG17" s="172">
        <v>0.22701455070000001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73.989999999999995</v>
      </c>
      <c r="S18" s="171">
        <v>165.315</v>
      </c>
      <c r="T18" s="172">
        <v>-0.55243020899999995</v>
      </c>
      <c r="U18" s="171">
        <v>415.90499999999997</v>
      </c>
      <c r="V18" s="171">
        <v>1022.692</v>
      </c>
      <c r="W18" s="172">
        <v>-0.59332330749999995</v>
      </c>
      <c r="X18" s="171">
        <v>1175.8109999999999</v>
      </c>
      <c r="Y18" s="172">
        <v>-0.46969252109999998</v>
      </c>
      <c r="Z18" s="171">
        <v>630.952</v>
      </c>
      <c r="AA18" s="171">
        <v>613.524</v>
      </c>
      <c r="AB18" s="172">
        <v>2.8406386700000001E-2</v>
      </c>
      <c r="AC18" s="171">
        <v>2864.6</v>
      </c>
      <c r="AD18" s="171">
        <v>3104.5970000000002</v>
      </c>
      <c r="AE18" s="172">
        <v>-7.7303753099999997E-2</v>
      </c>
      <c r="AF18" s="171">
        <v>8681.3629999999994</v>
      </c>
      <c r="AG18" s="172">
        <v>1.0522332400000001E-2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3620.2460000000001</v>
      </c>
      <c r="S19" s="171">
        <v>1838.6769999999999</v>
      </c>
      <c r="T19" s="172">
        <v>0.96894071120000003</v>
      </c>
      <c r="U19" s="171">
        <v>13313.081</v>
      </c>
      <c r="V19" s="171">
        <v>12301.293</v>
      </c>
      <c r="W19" s="172">
        <v>8.2250540699999999E-2</v>
      </c>
      <c r="X19" s="171">
        <v>27378.142</v>
      </c>
      <c r="Y19" s="172">
        <v>-0.3036200201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524.12850000000003</v>
      </c>
      <c r="K20" s="171">
        <v>271.42200000000003</v>
      </c>
      <c r="L20" s="172">
        <v>0.93104648850000005</v>
      </c>
      <c r="M20" s="171">
        <v>1876.665</v>
      </c>
      <c r="N20" s="171">
        <v>1800.6134999999999</v>
      </c>
      <c r="O20" s="172">
        <v>4.2236437699999997E-2</v>
      </c>
      <c r="P20" s="171">
        <v>5923.3789999999999</v>
      </c>
      <c r="Q20" s="172">
        <v>3.9437760299999999E-2</v>
      </c>
      <c r="R20" s="171">
        <v>10657.33</v>
      </c>
      <c r="S20" s="171">
        <v>7805.0050000000001</v>
      </c>
      <c r="T20" s="172">
        <v>0.36544819639999998</v>
      </c>
      <c r="U20" s="171">
        <v>37486.922500000001</v>
      </c>
      <c r="V20" s="171">
        <v>32780.912499999999</v>
      </c>
      <c r="W20" s="172">
        <v>0.143559457</v>
      </c>
      <c r="X20" s="171">
        <v>137767.29199999999</v>
      </c>
      <c r="Y20" s="172">
        <v>0.1655330492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524.12850000000003</v>
      </c>
      <c r="K21" s="171">
        <v>271.42200000000003</v>
      </c>
      <c r="L21" s="172">
        <v>0.93104648850000005</v>
      </c>
      <c r="M21" s="171">
        <v>1876.665</v>
      </c>
      <c r="N21" s="171">
        <v>1800.6134999999999</v>
      </c>
      <c r="O21" s="172">
        <v>4.2236437699999997E-2</v>
      </c>
      <c r="P21" s="171">
        <v>5923.3789999999999</v>
      </c>
      <c r="Q21" s="172">
        <v>3.9437760299999999E-2</v>
      </c>
      <c r="R21" s="171">
        <v>10657.33</v>
      </c>
      <c r="S21" s="171">
        <v>7805.0050000000001</v>
      </c>
      <c r="T21" s="172">
        <v>0.36544819639999998</v>
      </c>
      <c r="U21" s="171">
        <v>37486.922500000001</v>
      </c>
      <c r="V21" s="171">
        <v>32780.912499999999</v>
      </c>
      <c r="W21" s="172">
        <v>0.143559457</v>
      </c>
      <c r="X21" s="171">
        <v>137767.29199999999</v>
      </c>
      <c r="Y21" s="172">
        <v>0.1655330492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13780.955</v>
      </c>
      <c r="C22" s="173">
        <v>15441.172</v>
      </c>
      <c r="D22" s="174">
        <v>-0.10751884640000001</v>
      </c>
      <c r="E22" s="173">
        <v>61509.764999999999</v>
      </c>
      <c r="F22" s="173">
        <v>65058.953000000001</v>
      </c>
      <c r="G22" s="174">
        <v>-5.4553414000000001E-2</v>
      </c>
      <c r="H22" s="173">
        <v>191850.10800000001</v>
      </c>
      <c r="I22" s="174">
        <v>-2.96991941E-2</v>
      </c>
      <c r="J22" s="173">
        <v>14461.343999999999</v>
      </c>
      <c r="K22" s="173">
        <v>14619.04</v>
      </c>
      <c r="L22" s="174">
        <v>-1.0787028400000001E-2</v>
      </c>
      <c r="M22" s="173">
        <v>60820.578999999998</v>
      </c>
      <c r="N22" s="173">
        <v>62336.565000000002</v>
      </c>
      <c r="O22" s="174">
        <v>-2.4319370199999999E-2</v>
      </c>
      <c r="P22" s="173">
        <v>194923.64600000001</v>
      </c>
      <c r="Q22" s="174">
        <v>-3.8545523999999998E-2</v>
      </c>
      <c r="R22" s="173">
        <v>305361.842</v>
      </c>
      <c r="S22" s="173">
        <v>402632.79599999997</v>
      </c>
      <c r="T22" s="174">
        <v>-0.24158726010000001</v>
      </c>
      <c r="U22" s="173">
        <v>1304471.638</v>
      </c>
      <c r="V22" s="173">
        <v>1617278.1059999999</v>
      </c>
      <c r="W22" s="174">
        <v>-0.19341538529999999</v>
      </c>
      <c r="X22" s="173">
        <v>5125407.7819999997</v>
      </c>
      <c r="Y22" s="174">
        <v>1.8814689999999999E-4</v>
      </c>
      <c r="Z22" s="173">
        <v>675699.69499999995</v>
      </c>
      <c r="AA22" s="173">
        <v>673439.79</v>
      </c>
      <c r="AB22" s="174">
        <v>3.3557639999999998E-3</v>
      </c>
      <c r="AC22" s="173">
        <v>2758141.9270000001</v>
      </c>
      <c r="AD22" s="173">
        <v>2748560.1910000001</v>
      </c>
      <c r="AE22" s="174">
        <v>3.4860927999999999E-3</v>
      </c>
      <c r="AF22" s="173">
        <v>8544940.0370000005</v>
      </c>
      <c r="AG22" s="174">
        <v>2.48976895E-2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98033.414000000004</v>
      </c>
      <c r="S23" s="171">
        <v>33641.059000000001</v>
      </c>
      <c r="T23" s="172">
        <v>1.9141001179999999</v>
      </c>
      <c r="U23" s="171">
        <v>393912.11499999999</v>
      </c>
      <c r="V23" s="171">
        <v>122992.181</v>
      </c>
      <c r="W23" s="172">
        <v>2.2027411156999999</v>
      </c>
      <c r="X23" s="171">
        <v>873653.63800000004</v>
      </c>
      <c r="Y23" s="172">
        <v>0.67190004640000001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13780.955</v>
      </c>
      <c r="C24" s="173">
        <v>15441.172</v>
      </c>
      <c r="D24" s="174">
        <v>-0.10751884640000001</v>
      </c>
      <c r="E24" s="173">
        <v>61509.764999999999</v>
      </c>
      <c r="F24" s="173">
        <v>65058.953000000001</v>
      </c>
      <c r="G24" s="174">
        <v>-5.4553414000000001E-2</v>
      </c>
      <c r="H24" s="173">
        <v>191850.10800000001</v>
      </c>
      <c r="I24" s="174">
        <v>-2.96991941E-2</v>
      </c>
      <c r="J24" s="173">
        <v>14461.343999999999</v>
      </c>
      <c r="K24" s="173">
        <v>14619.04</v>
      </c>
      <c r="L24" s="174">
        <v>-1.0787028400000001E-2</v>
      </c>
      <c r="M24" s="173">
        <v>60820.578999999998</v>
      </c>
      <c r="N24" s="173">
        <v>62336.565000000002</v>
      </c>
      <c r="O24" s="174">
        <v>-2.4319370199999999E-2</v>
      </c>
      <c r="P24" s="173">
        <v>194923.64600000001</v>
      </c>
      <c r="Q24" s="174">
        <v>-3.8545523999999998E-2</v>
      </c>
      <c r="R24" s="173">
        <v>403395.25599999999</v>
      </c>
      <c r="S24" s="173">
        <v>436273.85499999998</v>
      </c>
      <c r="T24" s="174">
        <v>-7.5362295100000004E-2</v>
      </c>
      <c r="U24" s="173">
        <v>1698383.753</v>
      </c>
      <c r="V24" s="173">
        <v>1740270.287</v>
      </c>
      <c r="W24" s="174">
        <v>-2.4068981900000001E-2</v>
      </c>
      <c r="X24" s="173">
        <v>5999061.4199999999</v>
      </c>
      <c r="Y24" s="174">
        <v>6.2345801499999999E-2</v>
      </c>
      <c r="Z24" s="173">
        <v>675699.69499999995</v>
      </c>
      <c r="AA24" s="173">
        <v>673439.79</v>
      </c>
      <c r="AB24" s="174">
        <v>3.3557639999999998E-3</v>
      </c>
      <c r="AC24" s="173">
        <v>2758141.9270000001</v>
      </c>
      <c r="AD24" s="173">
        <v>2748560.1910000001</v>
      </c>
      <c r="AE24" s="174">
        <v>3.4860927999999999E-3</v>
      </c>
      <c r="AF24" s="173">
        <v>8544940.0370000005</v>
      </c>
      <c r="AG24" s="174">
        <v>2.48976895E-2</v>
      </c>
    </row>
    <row r="26" spans="1:33">
      <c r="A26" s="102" t="s">
        <v>103</v>
      </c>
      <c r="B26" s="162">
        <f>SUM(B24,J24,R24,Z24)</f>
        <v>1107337.25</v>
      </c>
      <c r="C26" s="162">
        <f>SUM(C24,K24,S24,AA24)</f>
        <v>1139773.8570000001</v>
      </c>
      <c r="D26" s="163">
        <f>((B26/C26)-1)*100</f>
        <v>-2.8458809439072863</v>
      </c>
      <c r="R26" s="163"/>
      <c r="Z26" s="163"/>
    </row>
    <row r="29" spans="1:33" ht="15">
      <c r="A29" s="134" t="s">
        <v>67</v>
      </c>
      <c r="B29" s="197" t="str">
        <f>A2</f>
        <v>Abril 2023</v>
      </c>
      <c r="C29" s="198"/>
    </row>
    <row r="30" spans="1:33" ht="15">
      <c r="A30" s="134" t="s">
        <v>69</v>
      </c>
      <c r="B30" s="211" t="s">
        <v>72</v>
      </c>
      <c r="C30" s="212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8"/>
      <c r="C33" s="178">
        <v>1.52</v>
      </c>
    </row>
    <row r="34" spans="1:4">
      <c r="A34" s="133" t="s">
        <v>11</v>
      </c>
      <c r="B34" s="178">
        <v>241.2</v>
      </c>
      <c r="C34" s="178"/>
    </row>
    <row r="35" spans="1:4">
      <c r="A35" s="133" t="s">
        <v>78</v>
      </c>
      <c r="B35" s="178">
        <v>139.4</v>
      </c>
      <c r="C35" s="178">
        <v>487.64</v>
      </c>
    </row>
    <row r="36" spans="1:4">
      <c r="A36" s="133" t="s">
        <v>9</v>
      </c>
      <c r="B36" s="178">
        <v>603.1</v>
      </c>
      <c r="C36" s="178">
        <v>520.75</v>
      </c>
    </row>
    <row r="37" spans="1:4">
      <c r="A37" s="133" t="s">
        <v>8</v>
      </c>
      <c r="B37" s="178"/>
      <c r="C37" s="178">
        <v>482.64</v>
      </c>
    </row>
    <row r="38" spans="1:4">
      <c r="A38" s="133" t="s">
        <v>25</v>
      </c>
      <c r="B38" s="178">
        <v>822.9</v>
      </c>
      <c r="C38" s="178">
        <v>865.4</v>
      </c>
    </row>
    <row r="39" spans="1:4">
      <c r="A39" s="133" t="s">
        <v>24</v>
      </c>
      <c r="B39" s="178"/>
      <c r="C39" s="178"/>
    </row>
    <row r="40" spans="1:4">
      <c r="A40" s="133" t="s">
        <v>6</v>
      </c>
      <c r="B40" s="178"/>
      <c r="C40" s="178">
        <v>11.32</v>
      </c>
    </row>
    <row r="41" spans="1:4">
      <c r="A41" s="133" t="s">
        <v>5</v>
      </c>
      <c r="B41" s="178">
        <v>3.6074999999999999</v>
      </c>
      <c r="C41" s="178">
        <v>613.26499999999999</v>
      </c>
      <c r="D41" s="167"/>
    </row>
    <row r="42" spans="1:4">
      <c r="A42" s="133" t="s">
        <v>4</v>
      </c>
      <c r="B42" s="178">
        <v>230.03519499999999</v>
      </c>
      <c r="C42" s="178">
        <v>212.16494499999999</v>
      </c>
      <c r="D42" s="167"/>
    </row>
    <row r="43" spans="1:4">
      <c r="A43" s="133" t="s">
        <v>22</v>
      </c>
      <c r="B43" s="178">
        <v>2.13</v>
      </c>
      <c r="C43" s="178">
        <v>3.6960000000000002</v>
      </c>
    </row>
    <row r="44" spans="1:4">
      <c r="A44" s="133" t="s">
        <v>23</v>
      </c>
      <c r="B44" s="178">
        <v>11.523</v>
      </c>
      <c r="C44" s="178">
        <v>38.200000000000003</v>
      </c>
    </row>
    <row r="45" spans="1:4">
      <c r="A45" s="133" t="s">
        <v>54</v>
      </c>
      <c r="B45" s="178">
        <v>37.4</v>
      </c>
      <c r="C45" s="178"/>
    </row>
    <row r="46" spans="1:4">
      <c r="A46" s="133" t="s">
        <v>55</v>
      </c>
      <c r="B46" s="178">
        <v>37.4</v>
      </c>
      <c r="C46" s="178"/>
    </row>
    <row r="47" spans="1:4">
      <c r="A47" s="137" t="s">
        <v>2</v>
      </c>
      <c r="B47" s="179">
        <f>SUM(B33:B46)</f>
        <v>2128.6956950000003</v>
      </c>
      <c r="C47" s="179">
        <f>SUM(C33:C46)</f>
        <v>3236.5959449999996</v>
      </c>
    </row>
    <row r="48" spans="1:4" ht="15">
      <c r="A48"/>
      <c r="B48" s="170"/>
      <c r="C4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11.33088212498123</v>
      </c>
      <c r="D52" s="165"/>
      <c r="F52" s="105" t="s">
        <v>10</v>
      </c>
      <c r="G52" s="106">
        <f>C35</f>
        <v>487.64</v>
      </c>
      <c r="H52" s="107">
        <f>G52/$G$62*100</f>
        <v>15.066446608923254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6.548610979363116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16.089434975795228</v>
      </c>
    </row>
    <row r="54" spans="1:8">
      <c r="A54" s="105" t="s">
        <v>9</v>
      </c>
      <c r="B54" s="106">
        <f t="shared" si="1"/>
        <v>603.1</v>
      </c>
      <c r="C54" s="107">
        <f t="shared" si="0"/>
        <v>28.331903024776867</v>
      </c>
      <c r="D54" s="165"/>
      <c r="F54" s="105" t="s">
        <v>8</v>
      </c>
      <c r="G54" s="106">
        <f>C37</f>
        <v>482.64</v>
      </c>
      <c r="H54" s="107">
        <f t="shared" si="2"/>
        <v>14.911963315828725</v>
      </c>
    </row>
    <row r="55" spans="1:8">
      <c r="A55" s="105" t="s">
        <v>25</v>
      </c>
      <c r="B55" s="106">
        <f>B38</f>
        <v>822.9</v>
      </c>
      <c r="C55" s="107">
        <f t="shared" si="0"/>
        <v>38.657474712467057</v>
      </c>
      <c r="D55" s="165"/>
      <c r="F55" s="105" t="s">
        <v>25</v>
      </c>
      <c r="G55" s="106">
        <f>C38</f>
        <v>865.4</v>
      </c>
      <c r="H55" s="107">
        <f t="shared" si="2"/>
        <v>26.737968368801134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1.1802523592422041</v>
      </c>
    </row>
    <row r="57" spans="1:8">
      <c r="A57" s="105" t="s">
        <v>23</v>
      </c>
      <c r="B57" s="106">
        <f>B44</f>
        <v>11.523</v>
      </c>
      <c r="C57" s="107">
        <f t="shared" si="0"/>
        <v>0.54131739107030974</v>
      </c>
      <c r="D57" s="165"/>
      <c r="F57" s="105" t="s">
        <v>12</v>
      </c>
      <c r="G57" s="107">
        <f>C33</f>
        <v>1.52</v>
      </c>
      <c r="H57" s="107">
        <f t="shared" si="2"/>
        <v>4.696292110073691E-2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1.7569444090974211</v>
      </c>
      <c r="D58" s="165"/>
      <c r="F58" s="105" t="s">
        <v>6</v>
      </c>
      <c r="G58" s="106">
        <f>C40</f>
        <v>11.32</v>
      </c>
      <c r="H58" s="107">
        <f t="shared" si="2"/>
        <v>0.34975017556601434</v>
      </c>
    </row>
    <row r="59" spans="1:8">
      <c r="A59" s="105" t="s">
        <v>54</v>
      </c>
      <c r="B59" s="106">
        <f>B45</f>
        <v>37.4</v>
      </c>
      <c r="C59" s="107">
        <f t="shared" si="3"/>
        <v>1.7569444090974211</v>
      </c>
      <c r="D59" s="165"/>
      <c r="F59" s="105" t="s">
        <v>5</v>
      </c>
      <c r="G59" s="106">
        <f>C41</f>
        <v>613.26499999999999</v>
      </c>
      <c r="H59" s="107">
        <f t="shared" si="2"/>
        <v>18.947839347923303</v>
      </c>
    </row>
    <row r="60" spans="1:8">
      <c r="A60" s="105" t="s">
        <v>5</v>
      </c>
      <c r="B60" s="106">
        <f>B41</f>
        <v>3.6074999999999999</v>
      </c>
      <c r="C60" s="107">
        <f t="shared" si="3"/>
        <v>0.16946997208072051</v>
      </c>
      <c r="D60" s="165"/>
      <c r="F60" s="105" t="s">
        <v>4</v>
      </c>
      <c r="G60" s="106">
        <f>C42</f>
        <v>212.16494499999999</v>
      </c>
      <c r="H60" s="107">
        <f t="shared" si="2"/>
        <v>6.555187876563938</v>
      </c>
    </row>
    <row r="61" spans="1:8">
      <c r="A61" s="105" t="s">
        <v>4</v>
      </c>
      <c r="B61" s="106">
        <f>B42</f>
        <v>230.03519499999999</v>
      </c>
      <c r="C61" s="107">
        <f t="shared" si="3"/>
        <v>10.806391704569119</v>
      </c>
      <c r="D61" s="165"/>
      <c r="F61" s="105" t="s">
        <v>22</v>
      </c>
      <c r="G61" s="106">
        <f>C43</f>
        <v>3.6960000000000002</v>
      </c>
      <c r="H61" s="107">
        <f t="shared" si="2"/>
        <v>0.11419405025547608</v>
      </c>
    </row>
    <row r="62" spans="1:8">
      <c r="A62" s="105" t="s">
        <v>22</v>
      </c>
      <c r="B62" s="106">
        <f>B43</f>
        <v>2.13</v>
      </c>
      <c r="C62" s="107">
        <f t="shared" si="3"/>
        <v>0.10006127249672478</v>
      </c>
      <c r="D62" s="165"/>
      <c r="F62" s="108" t="s">
        <v>20</v>
      </c>
      <c r="G62" s="109">
        <f>SUM(G52:G61)</f>
        <v>3236.5959449999996</v>
      </c>
      <c r="H62" s="110">
        <f>SUM(H52:H61)</f>
        <v>100.00000000000001</v>
      </c>
    </row>
    <row r="63" spans="1:8">
      <c r="A63" s="108" t="s">
        <v>20</v>
      </c>
      <c r="B63" s="109">
        <f>SUM(B52:B62)</f>
        <v>2128.6956950000003</v>
      </c>
      <c r="C63" s="110">
        <f>SUM(C52:C62)</f>
        <v>99.999999999999972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</v>
      </c>
      <c r="C68" s="106">
        <f>IF(R9&lt;0,0,R9)</f>
        <v>0</v>
      </c>
      <c r="D68" s="168">
        <f>(C68/SUM($C$68:$C$78))*100</f>
        <v>0</v>
      </c>
      <c r="F68" s="105" t="s">
        <v>10</v>
      </c>
      <c r="G68" s="107">
        <f>SUM(Z10,Z14)/Z$24*100</f>
        <v>22.175953475900272</v>
      </c>
    </row>
    <row r="69" spans="1:7">
      <c r="A69" s="105" t="s">
        <v>10</v>
      </c>
      <c r="B69" s="107">
        <f t="shared" ref="B69:B78" si="4">C69/$C$80*100</f>
        <v>1.7659356054360622</v>
      </c>
      <c r="C69" s="106">
        <f>R10</f>
        <v>7134.4489999999996</v>
      </c>
      <c r="D69" s="168">
        <f t="shared" ref="D69:D78" si="5">(C69/SUM($C$68:$C$78))*100</f>
        <v>2.3317440581249236</v>
      </c>
      <c r="F69" s="105" t="s">
        <v>9</v>
      </c>
      <c r="G69" s="107">
        <f>Z11/Z$24*100</f>
        <v>3.1215492852930771</v>
      </c>
    </row>
    <row r="70" spans="1:7">
      <c r="A70" s="105" t="s">
        <v>9</v>
      </c>
      <c r="B70" s="107">
        <f t="shared" si="4"/>
        <v>7.2876966865836028</v>
      </c>
      <c r="C70" s="106">
        <f>R11</f>
        <v>29442.58</v>
      </c>
      <c r="D70" s="168">
        <f t="shared" si="5"/>
        <v>9.6226857842655704</v>
      </c>
      <c r="F70" s="105" t="s">
        <v>8</v>
      </c>
      <c r="G70" s="107">
        <f>Z12/Z$24*100</f>
        <v>13.195943650677542</v>
      </c>
    </row>
    <row r="71" spans="1:7">
      <c r="A71" s="105" t="s">
        <v>25</v>
      </c>
      <c r="B71" s="107">
        <f t="shared" si="4"/>
        <v>51.419848861068964</v>
      </c>
      <c r="C71" s="106">
        <f>R13</f>
        <v>207738.20300000001</v>
      </c>
      <c r="D71" s="168">
        <f>(C71/SUM($C$68:$C$78))*100</f>
        <v>67.89484660844856</v>
      </c>
      <c r="F71" s="105" t="s">
        <v>25</v>
      </c>
      <c r="G71" s="107">
        <f>Z13/Z$24*100</f>
        <v>41.370991887157807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0.89609180916949349</v>
      </c>
      <c r="C73" s="106">
        <f>R19</f>
        <v>3620.2460000000001</v>
      </c>
      <c r="D73" s="168">
        <f t="shared" si="5"/>
        <v>1.1832009871330671</v>
      </c>
      <c r="F73" s="105" t="s">
        <v>12</v>
      </c>
      <c r="G73" s="107">
        <f>Z8/Z$24*100</f>
        <v>4.0862531394216479E-2</v>
      </c>
    </row>
    <row r="74" spans="1:7">
      <c r="A74" s="105" t="s">
        <v>55</v>
      </c>
      <c r="B74" s="107">
        <f t="shared" si="4"/>
        <v>2.6379274006839082</v>
      </c>
      <c r="C74" s="106">
        <f>R21</f>
        <v>10657.33</v>
      </c>
      <c r="D74" s="168">
        <f t="shared" si="5"/>
        <v>3.4831233502372072</v>
      </c>
      <c r="F74" s="105" t="s">
        <v>6</v>
      </c>
      <c r="G74" s="107">
        <f>Z15/Z$24*100</f>
        <v>0.2328455986649513</v>
      </c>
    </row>
    <row r="75" spans="1:7">
      <c r="A75" s="105" t="s">
        <v>54</v>
      </c>
      <c r="B75" s="107">
        <f t="shared" si="4"/>
        <v>2.6379274006839082</v>
      </c>
      <c r="C75" s="106">
        <f>R20</f>
        <v>10657.33</v>
      </c>
      <c r="D75" s="168">
        <f t="shared" si="5"/>
        <v>3.4831233502372072</v>
      </c>
      <c r="F75" s="105" t="s">
        <v>5</v>
      </c>
      <c r="G75" s="107">
        <f>Z16/Z$24*100</f>
        <v>15.344848276126571</v>
      </c>
    </row>
    <row r="76" spans="1:7">
      <c r="A76" s="105" t="s">
        <v>5</v>
      </c>
      <c r="B76" s="107">
        <f t="shared" si="4"/>
        <v>3.1520734071300439E-2</v>
      </c>
      <c r="C76" s="106">
        <f>R16</f>
        <v>127.345</v>
      </c>
      <c r="D76" s="168">
        <f t="shared" si="5"/>
        <v>4.1620025187918283E-2</v>
      </c>
      <c r="F76" s="105" t="s">
        <v>4</v>
      </c>
      <c r="G76" s="107">
        <f>Z17/Z$24*100</f>
        <v>4.4236277182276957</v>
      </c>
    </row>
    <row r="77" spans="1:7">
      <c r="A77" s="105" t="s">
        <v>4</v>
      </c>
      <c r="B77" s="107">
        <f t="shared" si="4"/>
        <v>9.0392759955326785</v>
      </c>
      <c r="C77" s="106">
        <f>R17</f>
        <v>36519.029000000002</v>
      </c>
      <c r="D77" s="168">
        <f t="shared" si="5"/>
        <v>11.935473766683563</v>
      </c>
      <c r="F77" s="105" t="s">
        <v>22</v>
      </c>
      <c r="G77" s="107">
        <f>Z18/Z$24*100</f>
        <v>9.3377576557881981E-2</v>
      </c>
    </row>
    <row r="78" spans="1:7">
      <c r="A78" s="105" t="s">
        <v>22</v>
      </c>
      <c r="B78" s="107">
        <f t="shared" si="4"/>
        <v>1.8314178915038039E-2</v>
      </c>
      <c r="C78" s="106">
        <f>R18</f>
        <v>73.989999999999995</v>
      </c>
      <c r="D78" s="168">
        <f t="shared" si="5"/>
        <v>2.4182069681998299E-2</v>
      </c>
      <c r="F78" s="108" t="s">
        <v>20</v>
      </c>
      <c r="G78" s="110">
        <f>SUM(G68:G77)</f>
        <v>100.00000000000001</v>
      </c>
    </row>
    <row r="79" spans="1:7">
      <c r="A79" s="105" t="s">
        <v>21</v>
      </c>
      <c r="B79" s="107">
        <f>C79/$C$80*100</f>
        <v>24.265461327855053</v>
      </c>
      <c r="C79" s="106">
        <f>R23</f>
        <v>98033.414000000004</v>
      </c>
      <c r="D79" s="169"/>
    </row>
    <row r="80" spans="1:7">
      <c r="A80" s="108" t="s">
        <v>20</v>
      </c>
      <c r="B80" s="110">
        <f>SUM(B68:B79)</f>
        <v>100</v>
      </c>
      <c r="C80" s="109">
        <f>SUM(C68:C79)</f>
        <v>404003.91599999997</v>
      </c>
      <c r="D80" s="165"/>
    </row>
    <row r="85" spans="1:26" ht="15">
      <c r="A85" s="134"/>
      <c r="B85" s="134" t="s">
        <v>69</v>
      </c>
      <c r="C85" s="214" t="s">
        <v>13</v>
      </c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/>
      <c r="U85"/>
      <c r="V85"/>
      <c r="W85"/>
      <c r="X85"/>
      <c r="Y85"/>
      <c r="Z85"/>
    </row>
    <row r="86" spans="1:26" ht="15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119</v>
      </c>
      <c r="Q86" s="180" t="s">
        <v>120</v>
      </c>
      <c r="R86" s="180" t="s">
        <v>121</v>
      </c>
      <c r="S86" s="180" t="s">
        <v>125</v>
      </c>
      <c r="T86"/>
      <c r="U86"/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/>
      <c r="U87"/>
      <c r="V87"/>
      <c r="W87"/>
      <c r="X87"/>
      <c r="Y87"/>
      <c r="Z87"/>
    </row>
    <row r="88" spans="1:26" ht="15">
      <c r="A88" s="208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-0.60865999999999998</v>
      </c>
      <c r="S88" s="175">
        <v>0</v>
      </c>
      <c r="T88"/>
      <c r="U88"/>
      <c r="V88"/>
      <c r="W88"/>
      <c r="X88"/>
      <c r="Y88"/>
      <c r="Z88"/>
    </row>
    <row r="89" spans="1:26" ht="15">
      <c r="A89" s="209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7.134449</v>
      </c>
      <c r="S89" s="175">
        <v>5.0671179999999998</v>
      </c>
      <c r="T89"/>
      <c r="U89"/>
      <c r="V89"/>
      <c r="W89"/>
      <c r="X89"/>
      <c r="Y89"/>
      <c r="Z89"/>
    </row>
    <row r="90" spans="1:26" ht="15">
      <c r="A90" s="209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67.572283999999996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29.44258</v>
      </c>
      <c r="S90" s="175">
        <v>15.360852</v>
      </c>
      <c r="T90"/>
      <c r="U90"/>
      <c r="V90"/>
      <c r="W90"/>
      <c r="X90"/>
      <c r="Y90"/>
      <c r="Z90"/>
    </row>
    <row r="91" spans="1:26" ht="15">
      <c r="A91" s="209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207.738203</v>
      </c>
      <c r="S91" s="175">
        <v>122.382983</v>
      </c>
      <c r="T91"/>
      <c r="U91"/>
      <c r="V91"/>
      <c r="W91"/>
      <c r="X91"/>
      <c r="Y91"/>
      <c r="Z91"/>
    </row>
    <row r="92" spans="1:26" ht="15">
      <c r="A92" s="209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/>
      <c r="U92"/>
      <c r="V92"/>
      <c r="W92"/>
      <c r="X92"/>
      <c r="Y92"/>
      <c r="Z92"/>
    </row>
    <row r="93" spans="1:26" ht="15">
      <c r="A93" s="209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6.1459E-2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0.12734500000000001</v>
      </c>
      <c r="S93" s="175">
        <v>0.1004</v>
      </c>
      <c r="T93"/>
      <c r="U93"/>
      <c r="V93"/>
      <c r="W93"/>
      <c r="X93"/>
      <c r="Y93"/>
      <c r="Z93"/>
    </row>
    <row r="94" spans="1:26" ht="15">
      <c r="A94" s="209"/>
      <c r="B94" s="133" t="s">
        <v>4</v>
      </c>
      <c r="C94" s="175">
        <v>14.437344</v>
      </c>
      <c r="D94" s="175">
        <v>17.860306999999999</v>
      </c>
      <c r="E94" s="175">
        <v>13.720819000000001</v>
      </c>
      <c r="F94" s="175">
        <v>22.448584</v>
      </c>
      <c r="G94" s="175">
        <v>27.351011</v>
      </c>
      <c r="H94" s="175">
        <v>29.26784</v>
      </c>
      <c r="I94" s="175">
        <v>33.069572000000001</v>
      </c>
      <c r="J94" s="175">
        <v>29.670628000000001</v>
      </c>
      <c r="K94" s="175">
        <v>25.077711000000001</v>
      </c>
      <c r="L94" s="175">
        <v>23.563777000000002</v>
      </c>
      <c r="M94" s="175">
        <v>17.217534000000001</v>
      </c>
      <c r="N94" s="175">
        <v>15.034399000000001</v>
      </c>
      <c r="O94" s="175">
        <v>18.176791999999999</v>
      </c>
      <c r="P94" s="175">
        <v>21.958507000000001</v>
      </c>
      <c r="Q94" s="175">
        <v>34.017825999999999</v>
      </c>
      <c r="R94" s="175">
        <v>36.519029000000003</v>
      </c>
      <c r="S94" s="175">
        <v>18.410957</v>
      </c>
      <c r="T94"/>
      <c r="U94"/>
      <c r="V94"/>
      <c r="W94"/>
      <c r="X94"/>
      <c r="Y94"/>
      <c r="Z94"/>
    </row>
    <row r="95" spans="1:26" ht="15">
      <c r="A95" s="209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7.1924000000000002E-2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7.399E-2</v>
      </c>
      <c r="S95" s="175">
        <v>4.0399999999999998E-2</v>
      </c>
      <c r="T95"/>
      <c r="U95"/>
      <c r="V95"/>
      <c r="W95"/>
      <c r="X95"/>
      <c r="Y95"/>
      <c r="Z95"/>
    </row>
    <row r="96" spans="1:26" ht="15">
      <c r="A96" s="209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2.5541079999999998</v>
      </c>
      <c r="N96" s="175">
        <v>2.9410020000000001</v>
      </c>
      <c r="O96" s="175">
        <v>3.055609</v>
      </c>
      <c r="P96" s="175">
        <v>3.0516040000000002</v>
      </c>
      <c r="Q96" s="175">
        <v>3.5856219999999999</v>
      </c>
      <c r="R96" s="175">
        <v>3.6202459999999999</v>
      </c>
      <c r="S96" s="175">
        <v>1.7658700000000001</v>
      </c>
      <c r="T96"/>
      <c r="U96"/>
      <c r="V96"/>
      <c r="W96"/>
      <c r="X96"/>
      <c r="Y96"/>
      <c r="Z96"/>
    </row>
    <row r="97" spans="1:26" ht="15">
      <c r="A97" s="209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10.65733</v>
      </c>
      <c r="S97" s="175">
        <v>5.7495000000000003</v>
      </c>
      <c r="T97"/>
      <c r="U97"/>
      <c r="V97"/>
      <c r="W97"/>
      <c r="X97"/>
      <c r="Y97"/>
      <c r="Z97"/>
    </row>
    <row r="98" spans="1:26" ht="15">
      <c r="A98" s="209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10.65733</v>
      </c>
      <c r="S98" s="175">
        <v>5.7495000000000003</v>
      </c>
      <c r="T98"/>
      <c r="U98"/>
      <c r="V98"/>
      <c r="W98"/>
      <c r="X98"/>
      <c r="Y98"/>
      <c r="Z98"/>
    </row>
    <row r="99" spans="1:26" ht="15">
      <c r="A99" s="209"/>
      <c r="B99" s="137" t="s">
        <v>2</v>
      </c>
      <c r="C99" s="176">
        <v>433.75729100000001</v>
      </c>
      <c r="D99" s="176">
        <v>369.66743300000002</v>
      </c>
      <c r="E99" s="176">
        <v>411.22058600000003</v>
      </c>
      <c r="F99" s="176">
        <v>402.63279599999998</v>
      </c>
      <c r="G99" s="176">
        <v>439.88518599999998</v>
      </c>
      <c r="H99" s="176">
        <v>539.97746800000004</v>
      </c>
      <c r="I99" s="176">
        <v>635.33395399999995</v>
      </c>
      <c r="J99" s="176">
        <v>651.26713199999995</v>
      </c>
      <c r="K99" s="176">
        <v>524.07938200000001</v>
      </c>
      <c r="L99" s="176">
        <v>405.32882699999999</v>
      </c>
      <c r="M99" s="176">
        <v>306.54494699999998</v>
      </c>
      <c r="N99" s="176">
        <v>318.519248</v>
      </c>
      <c r="O99" s="176">
        <v>326.27484099999998</v>
      </c>
      <c r="P99" s="176">
        <v>342.12679300000002</v>
      </c>
      <c r="Q99" s="176">
        <v>330.70816200000002</v>
      </c>
      <c r="R99" s="176">
        <v>305.36184200000002</v>
      </c>
      <c r="S99" s="176">
        <v>174.62757999999999</v>
      </c>
      <c r="T99"/>
      <c r="U99"/>
      <c r="V99"/>
      <c r="W99"/>
      <c r="X99"/>
      <c r="Y99"/>
      <c r="Z99"/>
    </row>
    <row r="100" spans="1:26" ht="15">
      <c r="A100" s="209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98.033413999999993</v>
      </c>
      <c r="S100" s="175">
        <v>60.563600000000001</v>
      </c>
      <c r="T100"/>
      <c r="U100"/>
      <c r="V100"/>
      <c r="W100"/>
      <c r="X100"/>
      <c r="Y100"/>
      <c r="Z100"/>
    </row>
    <row r="101" spans="1:26" ht="15">
      <c r="A101" s="210"/>
      <c r="B101" s="137" t="s">
        <v>79</v>
      </c>
      <c r="C101" s="176">
        <v>464.91663</v>
      </c>
      <c r="D101" s="176">
        <v>397.16993500000001</v>
      </c>
      <c r="E101" s="176">
        <v>441.90986700000002</v>
      </c>
      <c r="F101" s="176">
        <v>436.27385500000003</v>
      </c>
      <c r="G101" s="176">
        <v>471.93224199999997</v>
      </c>
      <c r="H101" s="176">
        <v>575.20253200000002</v>
      </c>
      <c r="I101" s="176">
        <v>702.36709199999996</v>
      </c>
      <c r="J101" s="176">
        <v>728.92016799999999</v>
      </c>
      <c r="K101" s="176">
        <v>594.72671800000001</v>
      </c>
      <c r="L101" s="176">
        <v>466.69421199999999</v>
      </c>
      <c r="M101" s="176">
        <v>362.53663299999999</v>
      </c>
      <c r="N101" s="176">
        <v>398.29807</v>
      </c>
      <c r="O101" s="176">
        <v>450.22497199999998</v>
      </c>
      <c r="P101" s="176">
        <v>431.86105500000002</v>
      </c>
      <c r="Q101" s="176">
        <v>412.90246999999999</v>
      </c>
      <c r="R101" s="176">
        <v>403.39525600000002</v>
      </c>
      <c r="S101" s="176">
        <v>235.19118</v>
      </c>
      <c r="T101"/>
      <c r="U101"/>
      <c r="V101"/>
      <c r="W101"/>
      <c r="X101"/>
      <c r="Y101"/>
      <c r="Z101"/>
    </row>
    <row r="102" spans="1:26" ht="15">
      <c r="A102" s="213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0.29870099999999999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0.29400900000000002</v>
      </c>
      <c r="M102" s="175">
        <v>0.27748800000000001</v>
      </c>
      <c r="N102" s="175">
        <v>0.28856799999999999</v>
      </c>
      <c r="O102" s="175">
        <v>0.27497500000000002</v>
      </c>
      <c r="P102" s="175">
        <v>0.25442500000000001</v>
      </c>
      <c r="Q102" s="175">
        <v>0.29023300000000002</v>
      </c>
      <c r="R102" s="175">
        <v>0.27610800000000002</v>
      </c>
      <c r="S102" s="175">
        <v>0</v>
      </c>
      <c r="T102"/>
      <c r="U102"/>
      <c r="V102"/>
      <c r="W102"/>
      <c r="X102"/>
      <c r="Y102"/>
      <c r="Z102"/>
    </row>
    <row r="103" spans="1:26" ht="15">
      <c r="A103" s="209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137.06188</v>
      </c>
      <c r="G103" s="175">
        <v>142.20013900000001</v>
      </c>
      <c r="H103" s="175">
        <v>140.176005</v>
      </c>
      <c r="I103" s="175">
        <v>145.16306399999999</v>
      </c>
      <c r="J103" s="175">
        <v>144.44555099999999</v>
      </c>
      <c r="K103" s="175">
        <v>147.14430100000001</v>
      </c>
      <c r="L103" s="175">
        <v>153.68727999999999</v>
      </c>
      <c r="M103" s="175">
        <v>154.15610899999999</v>
      </c>
      <c r="N103" s="175">
        <v>168.11301700000001</v>
      </c>
      <c r="O103" s="175">
        <v>149.66655</v>
      </c>
      <c r="P103" s="175">
        <v>151.17160100000001</v>
      </c>
      <c r="Q103" s="175">
        <v>141.36258799999999</v>
      </c>
      <c r="R103" s="175">
        <v>149.85577699999999</v>
      </c>
      <c r="S103" s="175">
        <v>79.704802000000001</v>
      </c>
      <c r="T103"/>
      <c r="U103"/>
      <c r="V103"/>
      <c r="W103"/>
      <c r="X103"/>
      <c r="Y103"/>
      <c r="Z103"/>
    </row>
    <row r="104" spans="1:26" ht="15">
      <c r="A104" s="209"/>
      <c r="B104" s="133" t="s">
        <v>9</v>
      </c>
      <c r="C104" s="175">
        <v>20.1236</v>
      </c>
      <c r="D104" s="175">
        <v>22.304445000000001</v>
      </c>
      <c r="E104" s="175">
        <v>22.266894000000001</v>
      </c>
      <c r="F104" s="175">
        <v>17.593667</v>
      </c>
      <c r="G104" s="175">
        <v>15.375764</v>
      </c>
      <c r="H104" s="175">
        <v>14.745179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21.092299000000001</v>
      </c>
      <c r="S104" s="175">
        <v>11.965208000000001</v>
      </c>
      <c r="T104"/>
      <c r="U104"/>
      <c r="V104"/>
      <c r="W104"/>
      <c r="X104"/>
      <c r="Y104"/>
      <c r="Z104"/>
    </row>
    <row r="105" spans="1:26" ht="15">
      <c r="A105" s="209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60.625900999999999</v>
      </c>
      <c r="I105" s="175">
        <v>73.212086999999997</v>
      </c>
      <c r="J105" s="175">
        <v>102.417013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89.164951000000002</v>
      </c>
      <c r="S105" s="175">
        <v>43.522038000000002</v>
      </c>
      <c r="T105"/>
      <c r="U105"/>
      <c r="V105"/>
      <c r="W105"/>
      <c r="X105"/>
      <c r="Y105"/>
      <c r="Z105"/>
    </row>
    <row r="106" spans="1:26" ht="15">
      <c r="A106" s="209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279.54366599999997</v>
      </c>
      <c r="S106" s="175">
        <v>115.16171</v>
      </c>
      <c r="T106"/>
      <c r="U106"/>
      <c r="V106"/>
      <c r="W106"/>
      <c r="X106"/>
      <c r="Y106"/>
      <c r="Z106"/>
    </row>
    <row r="107" spans="1:26" ht="15">
      <c r="A107" s="209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-1.2926999999999999E-2</v>
      </c>
      <c r="S107" s="175">
        <v>0</v>
      </c>
      <c r="T107"/>
      <c r="U107"/>
      <c r="V107"/>
      <c r="W107"/>
      <c r="X107"/>
      <c r="Y107"/>
      <c r="Z107"/>
    </row>
    <row r="108" spans="1:26" ht="15">
      <c r="A108" s="209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1.573337</v>
      </c>
      <c r="S108" s="175">
        <v>1.6031519999999999</v>
      </c>
      <c r="T108"/>
      <c r="U108"/>
      <c r="V108"/>
      <c r="W108"/>
      <c r="X108"/>
      <c r="Y108"/>
      <c r="Z108"/>
    </row>
    <row r="109" spans="1:26" ht="15">
      <c r="A109" s="209"/>
      <c r="B109" s="133" t="s">
        <v>5</v>
      </c>
      <c r="C109" s="175">
        <v>60.12574</v>
      </c>
      <c r="D109" s="175">
        <v>88.964033999999998</v>
      </c>
      <c r="E109" s="175">
        <v>109.52770099999999</v>
      </c>
      <c r="F109" s="175">
        <v>120.73900500000001</v>
      </c>
      <c r="G109" s="175">
        <v>116.96555499999999</v>
      </c>
      <c r="H109" s="175">
        <v>160.356527</v>
      </c>
      <c r="I109" s="175">
        <v>181.49906899999999</v>
      </c>
      <c r="J109" s="175">
        <v>185.782734</v>
      </c>
      <c r="K109" s="175">
        <v>123.26133799999999</v>
      </c>
      <c r="L109" s="175">
        <v>85.078937999999994</v>
      </c>
      <c r="M109" s="175">
        <v>102.221262</v>
      </c>
      <c r="N109" s="175">
        <v>37.913117999999997</v>
      </c>
      <c r="O109" s="175">
        <v>132.72816599999999</v>
      </c>
      <c r="P109" s="175">
        <v>42.685206000000001</v>
      </c>
      <c r="Q109" s="175">
        <v>131.43829199999999</v>
      </c>
      <c r="R109" s="175">
        <v>103.68509299999999</v>
      </c>
      <c r="S109" s="175">
        <v>103.771564</v>
      </c>
      <c r="T109"/>
      <c r="U109"/>
      <c r="V109"/>
      <c r="W109"/>
      <c r="X109"/>
      <c r="Y109"/>
      <c r="Z109"/>
    </row>
    <row r="110" spans="1:26" ht="15">
      <c r="A110" s="209"/>
      <c r="B110" s="133" t="s">
        <v>4</v>
      </c>
      <c r="C110" s="175">
        <v>18.056702999999999</v>
      </c>
      <c r="D110" s="175">
        <v>18.872744999999998</v>
      </c>
      <c r="E110" s="175">
        <v>25.064551999999999</v>
      </c>
      <c r="F110" s="175">
        <v>26.39603</v>
      </c>
      <c r="G110" s="175">
        <v>32.971663999999997</v>
      </c>
      <c r="H110" s="175">
        <v>30.752493999999999</v>
      </c>
      <c r="I110" s="175">
        <v>34.434815</v>
      </c>
      <c r="J110" s="175">
        <v>32.263370000000002</v>
      </c>
      <c r="K110" s="175">
        <v>26.538736</v>
      </c>
      <c r="L110" s="175">
        <v>26.753266</v>
      </c>
      <c r="M110" s="175">
        <v>23.169461999999999</v>
      </c>
      <c r="N110" s="175">
        <v>19.006923</v>
      </c>
      <c r="O110" s="175">
        <v>22.065138000000001</v>
      </c>
      <c r="P110" s="175">
        <v>20.222797</v>
      </c>
      <c r="Q110" s="175">
        <v>32.125762000000002</v>
      </c>
      <c r="R110" s="175">
        <v>29.890439000000001</v>
      </c>
      <c r="S110" s="175">
        <v>15.318642000000001</v>
      </c>
      <c r="T110"/>
      <c r="U110"/>
      <c r="V110"/>
      <c r="W110"/>
      <c r="X110"/>
      <c r="Y110"/>
      <c r="Z110"/>
    </row>
    <row r="111" spans="1:26" ht="15">
      <c r="A111" s="209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0.63095199999999996</v>
      </c>
      <c r="S111" s="175">
        <v>0</v>
      </c>
      <c r="T111"/>
      <c r="U111"/>
      <c r="V111"/>
      <c r="W111"/>
      <c r="X111"/>
      <c r="Y111"/>
      <c r="Z111"/>
    </row>
    <row r="112" spans="1:26" ht="15">
      <c r="A112" s="209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/>
      <c r="U112"/>
      <c r="V112"/>
      <c r="W112"/>
      <c r="X112"/>
      <c r="Y112"/>
      <c r="Z112"/>
    </row>
    <row r="113" spans="1:26" ht="15">
      <c r="A113" s="209"/>
      <c r="B113" s="137" t="s">
        <v>2</v>
      </c>
      <c r="C113" s="176">
        <v>713.30986199999995</v>
      </c>
      <c r="D113" s="176">
        <v>649.84944700000005</v>
      </c>
      <c r="E113" s="176">
        <v>711.96109200000001</v>
      </c>
      <c r="F113" s="176">
        <v>673.43979000000002</v>
      </c>
      <c r="G113" s="176">
        <v>700.75674900000001</v>
      </c>
      <c r="H113" s="176">
        <v>693.66707899999994</v>
      </c>
      <c r="I113" s="176">
        <v>754.31223199999999</v>
      </c>
      <c r="J113" s="176">
        <v>757.16552300000001</v>
      </c>
      <c r="K113" s="176">
        <v>724.22376499999996</v>
      </c>
      <c r="L113" s="176">
        <v>728.54527199999995</v>
      </c>
      <c r="M113" s="176">
        <v>709.22855300000003</v>
      </c>
      <c r="N113" s="176">
        <v>718.89893700000005</v>
      </c>
      <c r="O113" s="176">
        <v>719.36431300000004</v>
      </c>
      <c r="P113" s="176">
        <v>650.24016300000005</v>
      </c>
      <c r="Q113" s="176">
        <v>712.83775600000001</v>
      </c>
      <c r="R113" s="176">
        <v>675.69969500000002</v>
      </c>
      <c r="S113" s="176">
        <v>371.04711600000002</v>
      </c>
      <c r="T113"/>
      <c r="U113"/>
      <c r="V113"/>
      <c r="W113"/>
      <c r="X113"/>
      <c r="Y113"/>
      <c r="Z113"/>
    </row>
    <row r="114" spans="1:26" ht="15">
      <c r="A114" s="210"/>
      <c r="B114" s="137" t="s">
        <v>79</v>
      </c>
      <c r="C114" s="176">
        <v>713.30986199999995</v>
      </c>
      <c r="D114" s="176">
        <v>649.84944700000005</v>
      </c>
      <c r="E114" s="176">
        <v>711.96109200000001</v>
      </c>
      <c r="F114" s="176">
        <v>673.43979000000002</v>
      </c>
      <c r="G114" s="176">
        <v>700.75674900000001</v>
      </c>
      <c r="H114" s="176">
        <v>693.66707899999994</v>
      </c>
      <c r="I114" s="176">
        <v>754.31223199999999</v>
      </c>
      <c r="J114" s="176">
        <v>757.16552300000001</v>
      </c>
      <c r="K114" s="176">
        <v>724.22376499999996</v>
      </c>
      <c r="L114" s="176">
        <v>728.54527199999995</v>
      </c>
      <c r="M114" s="176">
        <v>709.22855300000003</v>
      </c>
      <c r="N114" s="176">
        <v>718.89893700000005</v>
      </c>
      <c r="O114" s="176">
        <v>719.36431300000004</v>
      </c>
      <c r="P114" s="176">
        <v>650.24016300000005</v>
      </c>
      <c r="Q114" s="176">
        <v>712.83775600000001</v>
      </c>
      <c r="R114" s="176">
        <v>675.69969500000002</v>
      </c>
      <c r="S114" s="176">
        <v>371.04711600000002</v>
      </c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6" t="s">
        <v>73</v>
      </c>
      <c r="C117" s="111" t="str">
        <f>TEXT(EDATE(D117,-1),"mmmm aaaa")</f>
        <v>abril 2022</v>
      </c>
      <c r="D117" s="111" t="str">
        <f t="shared" ref="D117:M117" si="6">TEXT(EDATE(E117,-1),"mmmm aaaa")</f>
        <v>mayo 2022</v>
      </c>
      <c r="E117" s="111" t="str">
        <f t="shared" si="6"/>
        <v>junio 2022</v>
      </c>
      <c r="F117" s="111" t="str">
        <f t="shared" si="6"/>
        <v>julio 2022</v>
      </c>
      <c r="G117" s="111" t="str">
        <f t="shared" si="6"/>
        <v>agosto 2022</v>
      </c>
      <c r="H117" s="111" t="str">
        <f t="shared" si="6"/>
        <v>septiembre 2022</v>
      </c>
      <c r="I117" s="111" t="str">
        <f t="shared" si="6"/>
        <v>octubre 2022</v>
      </c>
      <c r="J117" s="111" t="str">
        <f t="shared" si="6"/>
        <v>noviembre 2022</v>
      </c>
      <c r="K117" s="111" t="str">
        <f t="shared" si="6"/>
        <v>diciembre 2022</v>
      </c>
      <c r="L117" s="111" t="str">
        <f t="shared" si="6"/>
        <v>enero 2023</v>
      </c>
      <c r="M117" s="111" t="str">
        <f t="shared" si="6"/>
        <v>febrero 2023</v>
      </c>
      <c r="N117" s="111" t="str">
        <f>TEXT(EDATE(O117,-1),"mmmm aaaa")</f>
        <v>marzo 2023</v>
      </c>
      <c r="O117" s="112" t="str">
        <f>A2</f>
        <v>Abril 2023</v>
      </c>
    </row>
    <row r="118" spans="1:26">
      <c r="B118" s="207"/>
      <c r="C118" s="121" t="str">
        <f>TEXT(EDATE($A$2,-12),"mmm")&amp;".-"&amp;TEXT(EDATE($A$2,-12),"aa")</f>
        <v>abr.-22</v>
      </c>
      <c r="D118" s="121" t="str">
        <f>TEXT(EDATE($A$2,-11),"mmm")&amp;".-"&amp;TEXT(EDATE($A$2,-11),"aa")</f>
        <v>may.-22</v>
      </c>
      <c r="E118" s="121" t="str">
        <f>TEXT(EDATE($A$2,-10),"mmm")&amp;".-"&amp;TEXT(EDATE($A$2,-10),"aa")</f>
        <v>jun.-22</v>
      </c>
      <c r="F118" s="121" t="str">
        <f>TEXT(EDATE($A$2,-9),"mmm")&amp;".-"&amp;TEXT(EDATE($A$2,-9),"aa")</f>
        <v>jul.-22</v>
      </c>
      <c r="G118" s="121" t="str">
        <f>TEXT(EDATE($A$2,-8),"mmm")&amp;".-"&amp;TEXT(EDATE($A$2,-8),"aa")</f>
        <v>ago.-22</v>
      </c>
      <c r="H118" s="121" t="str">
        <f>TEXT(EDATE($A$2,-7),"mmm")&amp;".-"&amp;TEXT(EDATE($A$2,-7),"aa")</f>
        <v>sep.-22</v>
      </c>
      <c r="I118" s="121" t="str">
        <f>TEXT(EDATE($A$2,-6),"mmm")&amp;".-"&amp;TEXT(EDATE($A$2,-6),"aa")</f>
        <v>oct.-22</v>
      </c>
      <c r="J118" s="121" t="str">
        <f>TEXT(EDATE($A$2,-5),"mmm")&amp;".-"&amp;TEXT(EDATE($A$2,-5),"aa")</f>
        <v>nov.-22</v>
      </c>
      <c r="K118" s="121" t="str">
        <f>TEXT(EDATE($A$2,-4),"mmm")&amp;".-"&amp;TEXT(EDATE($A$2,-4),"aa")</f>
        <v>dic.-22</v>
      </c>
      <c r="L118" s="121" t="str">
        <f>TEXT(EDATE($A$2,-3),"mmm")&amp;".-"&amp;TEXT(EDATE($A$2,-3),"aa")</f>
        <v>ene.-23</v>
      </c>
      <c r="M118" s="121" t="str">
        <f>TEXT(EDATE($A$2,-2),"mmm")&amp;".-"&amp;TEXT(EDATE($A$2,-2),"aa")</f>
        <v>feb.-23</v>
      </c>
      <c r="N118" s="121" t="str">
        <f>TEXT(EDATE($A$2,-1),"mmm")&amp;".-"&amp;TEXT(EDATE($A$2,-1),"aa")</f>
        <v>mar.-23</v>
      </c>
      <c r="O118" s="143" t="str">
        <f>TEXT($A$2,"mmm")&amp;".-"&amp;TEXT($A$2,"aa")</f>
        <v>abr.-23</v>
      </c>
    </row>
    <row r="119" spans="1:26">
      <c r="A119" s="203" t="s">
        <v>76</v>
      </c>
      <c r="B119" s="122" t="s">
        <v>11</v>
      </c>
      <c r="C119" s="123">
        <f>HLOOKUP(C$117,$86:$101,3,FALSE)</f>
        <v>-0.60548299999999999</v>
      </c>
      <c r="D119" s="123">
        <f t="shared" ref="D119:N119" si="7">HLOOKUP(D$117,$86:$101,3,FALSE)</f>
        <v>-1.0302370000000001</v>
      </c>
      <c r="E119" s="123">
        <f t="shared" si="7"/>
        <v>29.141857000000002</v>
      </c>
      <c r="F119" s="123">
        <f t="shared" si="7"/>
        <v>50.189168000000002</v>
      </c>
      <c r="G119" s="123">
        <f t="shared" si="7"/>
        <v>5.2653150000000002</v>
      </c>
      <c r="H119" s="123">
        <f t="shared" si="7"/>
        <v>-0.60380599999999995</v>
      </c>
      <c r="I119" s="123">
        <f t="shared" si="7"/>
        <v>-0.613232</v>
      </c>
      <c r="J119" s="123">
        <f t="shared" si="7"/>
        <v>-0.58811800000000003</v>
      </c>
      <c r="K119" s="123">
        <f t="shared" si="7"/>
        <v>-0.62679200000000002</v>
      </c>
      <c r="L119" s="123">
        <f t="shared" si="7"/>
        <v>-0.72771799999999998</v>
      </c>
      <c r="M119" s="123">
        <f t="shared" si="7"/>
        <v>-0.70697299999999996</v>
      </c>
      <c r="N119" s="123">
        <f t="shared" si="7"/>
        <v>-0.51834000000000002</v>
      </c>
      <c r="O119" s="124">
        <f>HLOOKUP(O$117,$86:$101,3,FALSE)</f>
        <v>-0.60865999999999998</v>
      </c>
    </row>
    <row r="120" spans="1:26">
      <c r="A120" s="204"/>
      <c r="B120" s="105" t="s">
        <v>10</v>
      </c>
      <c r="C120" s="107">
        <f>HLOOKUP(C$117,$86:$101,4,FALSE)</f>
        <v>38.583128000000002</v>
      </c>
      <c r="D120" s="107">
        <f t="shared" ref="D120:O120" si="8">HLOOKUP(D$117,$86:$101,4,FALSE)</f>
        <v>43.134307</v>
      </c>
      <c r="E120" s="107">
        <f t="shared" si="8"/>
        <v>52.984195999999997</v>
      </c>
      <c r="F120" s="107">
        <f t="shared" si="8"/>
        <v>59.042844000000002</v>
      </c>
      <c r="G120" s="107">
        <f t="shared" si="8"/>
        <v>60.455578000000003</v>
      </c>
      <c r="H120" s="107">
        <f t="shared" si="8"/>
        <v>32.713324999999998</v>
      </c>
      <c r="I120" s="107">
        <f t="shared" si="8"/>
        <v>17.166284999999998</v>
      </c>
      <c r="J120" s="107">
        <f t="shared" si="8"/>
        <v>9.2819520000000004</v>
      </c>
      <c r="K120" s="107">
        <f t="shared" si="8"/>
        <v>2.2104400000000002</v>
      </c>
      <c r="L120" s="107">
        <f t="shared" si="8"/>
        <v>5.0179289999999996</v>
      </c>
      <c r="M120" s="107">
        <f t="shared" si="8"/>
        <v>15.008727</v>
      </c>
      <c r="N120" s="107">
        <f t="shared" si="8"/>
        <v>6.2192920000000003</v>
      </c>
      <c r="O120" s="124">
        <f t="shared" si="8"/>
        <v>7.134449</v>
      </c>
    </row>
    <row r="121" spans="1:26">
      <c r="A121" s="204"/>
      <c r="B121" s="105" t="s">
        <v>9</v>
      </c>
      <c r="C121" s="107">
        <f>HLOOKUP(C$117,$86:$101,5,FALSE)</f>
        <v>16.923745</v>
      </c>
      <c r="D121" s="107">
        <f t="shared" ref="D121:O121" si="9">HLOOKUP(D$117,$86:$101,5,FALSE)</f>
        <v>26.908512000000002</v>
      </c>
      <c r="E121" s="107">
        <f t="shared" si="9"/>
        <v>32.914068</v>
      </c>
      <c r="F121" s="107">
        <f t="shared" si="9"/>
        <v>59.770274999999998</v>
      </c>
      <c r="G121" s="107">
        <f t="shared" si="9"/>
        <v>67.572283999999996</v>
      </c>
      <c r="H121" s="107">
        <f t="shared" si="9"/>
        <v>56.444971000000002</v>
      </c>
      <c r="I121" s="107">
        <f t="shared" si="9"/>
        <v>42.597769999999997</v>
      </c>
      <c r="J121" s="107">
        <f t="shared" si="9"/>
        <v>23.111573</v>
      </c>
      <c r="K121" s="107">
        <f t="shared" si="9"/>
        <v>26.769898999999999</v>
      </c>
      <c r="L121" s="107">
        <f t="shared" si="9"/>
        <v>49.385100000000001</v>
      </c>
      <c r="M121" s="107">
        <f t="shared" si="9"/>
        <v>32.328426999999998</v>
      </c>
      <c r="N121" s="107">
        <f t="shared" si="9"/>
        <v>34.532919999999997</v>
      </c>
      <c r="O121" s="124">
        <f t="shared" si="9"/>
        <v>29.44258</v>
      </c>
    </row>
    <row r="122" spans="1:26" ht="14.25">
      <c r="A122" s="204"/>
      <c r="B122" s="105" t="s">
        <v>74</v>
      </c>
      <c r="C122" s="107">
        <f>HLOOKUP(C$117,$86:$101,6,FALSE)</f>
        <v>307.42903200000001</v>
      </c>
      <c r="D122" s="107">
        <f t="shared" ref="D122:O122" si="10">HLOOKUP(D$117,$86:$101,6,FALSE)</f>
        <v>317.55595499999998</v>
      </c>
      <c r="E122" s="107">
        <f t="shared" si="10"/>
        <v>367.58788099999998</v>
      </c>
      <c r="F122" s="107">
        <f t="shared" si="10"/>
        <v>396.959791</v>
      </c>
      <c r="G122" s="107">
        <f t="shared" si="10"/>
        <v>456.377207</v>
      </c>
      <c r="H122" s="107">
        <f t="shared" si="10"/>
        <v>377.07382699999999</v>
      </c>
      <c r="I122" s="107">
        <f t="shared" si="10"/>
        <v>297.32130999999998</v>
      </c>
      <c r="J122" s="107">
        <f t="shared" si="10"/>
        <v>234.47985499999999</v>
      </c>
      <c r="K122" s="107">
        <f t="shared" si="10"/>
        <v>251.18496099999999</v>
      </c>
      <c r="L122" s="107">
        <f t="shared" si="10"/>
        <v>236.33414099999999</v>
      </c>
      <c r="M122" s="107">
        <f t="shared" si="10"/>
        <v>250.50749099999999</v>
      </c>
      <c r="N122" s="107">
        <f t="shared" si="10"/>
        <v>233.28242</v>
      </c>
      <c r="O122" s="124">
        <f t="shared" si="10"/>
        <v>207.738203</v>
      </c>
    </row>
    <row r="123" spans="1:26">
      <c r="A123" s="204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2.6835830000000001</v>
      </c>
      <c r="G123" s="107">
        <f t="shared" si="11"/>
        <v>4.441192</v>
      </c>
      <c r="H123" s="107">
        <f t="shared" si="11"/>
        <v>4.0880280000000004</v>
      </c>
      <c r="I123" s="107">
        <f t="shared" si="11"/>
        <v>0.904698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4"/>
      <c r="B124" s="105" t="s">
        <v>5</v>
      </c>
      <c r="C124" s="107">
        <f>HLOOKUP(C$117,$86:$102,8,FALSE)</f>
        <v>0.239788</v>
      </c>
      <c r="D124" s="107">
        <f t="shared" ref="D124:O124" si="12">HLOOKUP(D$117,$86:$102,8,FALSE)</f>
        <v>0.16079099999999999</v>
      </c>
      <c r="E124" s="107">
        <f t="shared" si="12"/>
        <v>6.1459E-2</v>
      </c>
      <c r="F124" s="107">
        <f t="shared" si="12"/>
        <v>3.0289E-2</v>
      </c>
      <c r="G124" s="107">
        <f t="shared" si="12"/>
        <v>3.2219999999999999E-2</v>
      </c>
      <c r="H124" s="107">
        <f t="shared" si="12"/>
        <v>1.2760000000000001E-2</v>
      </c>
      <c r="I124" s="107">
        <f t="shared" si="12"/>
        <v>2.8530000000000001E-3</v>
      </c>
      <c r="J124" s="107">
        <f t="shared" si="12"/>
        <v>2.5883E-2</v>
      </c>
      <c r="K124" s="107">
        <f t="shared" si="12"/>
        <v>0.100989</v>
      </c>
      <c r="L124" s="107">
        <f t="shared" si="12"/>
        <v>0.21573000000000001</v>
      </c>
      <c r="M124" s="107">
        <f t="shared" si="12"/>
        <v>0.18323999999999999</v>
      </c>
      <c r="N124" s="107">
        <f t="shared" si="12"/>
        <v>0.20035</v>
      </c>
      <c r="O124" s="124">
        <f t="shared" si="12"/>
        <v>0.12734500000000001</v>
      </c>
    </row>
    <row r="125" spans="1:26">
      <c r="A125" s="204"/>
      <c r="B125" s="105" t="s">
        <v>4</v>
      </c>
      <c r="C125" s="107">
        <f>HLOOKUP(C$117,$86:$102,9,FALSE)</f>
        <v>22.448584</v>
      </c>
      <c r="D125" s="107">
        <f t="shared" ref="D125:O125" si="13">HLOOKUP(D$117,$86:$102,9,FALSE)</f>
        <v>27.351011</v>
      </c>
      <c r="E125" s="107">
        <f t="shared" si="13"/>
        <v>29.26784</v>
      </c>
      <c r="F125" s="107">
        <f t="shared" si="13"/>
        <v>33.069572000000001</v>
      </c>
      <c r="G125" s="107">
        <f t="shared" si="13"/>
        <v>29.670628000000001</v>
      </c>
      <c r="H125" s="107">
        <f t="shared" si="13"/>
        <v>25.077711000000001</v>
      </c>
      <c r="I125" s="107">
        <f t="shared" si="13"/>
        <v>23.563777000000002</v>
      </c>
      <c r="J125" s="107">
        <f t="shared" si="13"/>
        <v>17.217534000000001</v>
      </c>
      <c r="K125" s="107">
        <f t="shared" si="13"/>
        <v>15.034399000000001</v>
      </c>
      <c r="L125" s="107">
        <f t="shared" si="13"/>
        <v>18.176791999999999</v>
      </c>
      <c r="M125" s="107">
        <f t="shared" si="13"/>
        <v>21.958507000000001</v>
      </c>
      <c r="N125" s="107">
        <f t="shared" si="13"/>
        <v>34.017825999999999</v>
      </c>
      <c r="O125" s="124">
        <f t="shared" si="13"/>
        <v>36.519029000000003</v>
      </c>
    </row>
    <row r="126" spans="1:26">
      <c r="A126" s="204"/>
      <c r="B126" s="113" t="s">
        <v>22</v>
      </c>
      <c r="C126" s="107">
        <f>HLOOKUP(C$117,$86:$102,10,FALSE)</f>
        <v>0.16531499999999999</v>
      </c>
      <c r="D126" s="107">
        <f t="shared" ref="D126:O126" si="14">HLOOKUP(D$117,$86:$102,10,FALSE)</f>
        <v>0.166327</v>
      </c>
      <c r="E126" s="107">
        <f t="shared" si="14"/>
        <v>0.111179</v>
      </c>
      <c r="F126" s="107">
        <f t="shared" si="14"/>
        <v>9.5128000000000004E-2</v>
      </c>
      <c r="G126" s="107">
        <f t="shared" si="14"/>
        <v>5.6752999999999998E-2</v>
      </c>
      <c r="H126" s="107">
        <f t="shared" si="14"/>
        <v>7.1924000000000002E-2</v>
      </c>
      <c r="I126" s="107">
        <f t="shared" si="14"/>
        <v>9.6991999999999995E-2</v>
      </c>
      <c r="J126" s="107">
        <f t="shared" si="14"/>
        <v>8.4503999999999996E-2</v>
      </c>
      <c r="K126" s="107">
        <f t="shared" si="14"/>
        <v>7.7099000000000001E-2</v>
      </c>
      <c r="L126" s="107">
        <f t="shared" si="14"/>
        <v>9.3608999999999998E-2</v>
      </c>
      <c r="M126" s="107">
        <f t="shared" si="14"/>
        <v>0.13599800000000001</v>
      </c>
      <c r="N126" s="107">
        <f t="shared" si="14"/>
        <v>0.11230800000000001</v>
      </c>
      <c r="O126" s="124">
        <f t="shared" si="14"/>
        <v>7.399E-2</v>
      </c>
    </row>
    <row r="127" spans="1:26">
      <c r="A127" s="204"/>
      <c r="B127" s="113" t="s">
        <v>23</v>
      </c>
      <c r="C127" s="107">
        <f>HLOOKUP(C$117,$86:$102,11,FALSE)</f>
        <v>1.8386769999999999</v>
      </c>
      <c r="D127" s="107">
        <f t="shared" ref="D127:O127" si="15">HLOOKUP(D$117,$86:$102,11,FALSE)</f>
        <v>1.9461250000000001</v>
      </c>
      <c r="E127" s="107">
        <f t="shared" si="15"/>
        <v>1.5363420000000001</v>
      </c>
      <c r="F127" s="107">
        <f t="shared" si="15"/>
        <v>1.1719729999999999</v>
      </c>
      <c r="G127" s="107">
        <f t="shared" si="15"/>
        <v>5.1333999999999998E-2</v>
      </c>
      <c r="H127" s="107">
        <f t="shared" si="15"/>
        <v>2.0373130000000002</v>
      </c>
      <c r="I127" s="107">
        <f t="shared" si="15"/>
        <v>1.826864</v>
      </c>
      <c r="J127" s="107">
        <f t="shared" si="15"/>
        <v>2.5541079999999998</v>
      </c>
      <c r="K127" s="107">
        <f t="shared" si="15"/>
        <v>2.9410020000000001</v>
      </c>
      <c r="L127" s="107">
        <f t="shared" si="15"/>
        <v>3.055609</v>
      </c>
      <c r="M127" s="107">
        <f t="shared" si="15"/>
        <v>3.0516040000000002</v>
      </c>
      <c r="N127" s="107">
        <f t="shared" si="15"/>
        <v>3.5856219999999999</v>
      </c>
      <c r="O127" s="124">
        <f t="shared" si="15"/>
        <v>3.6202459999999999</v>
      </c>
    </row>
    <row r="128" spans="1:26">
      <c r="A128" s="204"/>
      <c r="B128" s="105" t="s">
        <v>55</v>
      </c>
      <c r="C128" s="107">
        <f t="shared" ref="C128:O128" si="16">HLOOKUP(C$117,$86:$102,13,FALSE)</f>
        <v>7.8050050000000004</v>
      </c>
      <c r="D128" s="107">
        <f t="shared" si="16"/>
        <v>11.846197500000001</v>
      </c>
      <c r="E128" s="107">
        <f t="shared" si="16"/>
        <v>13.186323</v>
      </c>
      <c r="F128" s="107">
        <f t="shared" si="16"/>
        <v>16.1606655</v>
      </c>
      <c r="G128" s="107">
        <f t="shared" si="16"/>
        <v>13.6723105</v>
      </c>
      <c r="H128" s="107">
        <f t="shared" si="16"/>
        <v>13.5816645</v>
      </c>
      <c r="I128" s="107">
        <f t="shared" si="16"/>
        <v>11.230755</v>
      </c>
      <c r="J128" s="107">
        <f t="shared" si="16"/>
        <v>10.188828000000001</v>
      </c>
      <c r="K128" s="107">
        <f t="shared" si="16"/>
        <v>10.4136255</v>
      </c>
      <c r="L128" s="107">
        <f t="shared" si="16"/>
        <v>7.3618245</v>
      </c>
      <c r="M128" s="107">
        <f t="shared" si="16"/>
        <v>9.8298860000000001</v>
      </c>
      <c r="N128" s="107">
        <f t="shared" si="16"/>
        <v>9.6378819999999994</v>
      </c>
      <c r="O128" s="124">
        <f t="shared" si="16"/>
        <v>10.65733</v>
      </c>
    </row>
    <row r="129" spans="1:15">
      <c r="A129" s="204"/>
      <c r="B129" s="105" t="s">
        <v>54</v>
      </c>
      <c r="C129" s="107">
        <f>HLOOKUP(C$117,$86:$102,12,FALSE)</f>
        <v>7.8050050000000004</v>
      </c>
      <c r="D129" s="107">
        <f t="shared" ref="D129:O129" si="17">HLOOKUP(D$117,$86:$102,12,FALSE)</f>
        <v>11.846197500000001</v>
      </c>
      <c r="E129" s="107">
        <f t="shared" si="17"/>
        <v>13.186323</v>
      </c>
      <c r="F129" s="107">
        <f t="shared" si="17"/>
        <v>16.1606655</v>
      </c>
      <c r="G129" s="107">
        <f t="shared" si="17"/>
        <v>13.6723105</v>
      </c>
      <c r="H129" s="107">
        <f t="shared" si="17"/>
        <v>13.5816645</v>
      </c>
      <c r="I129" s="107">
        <f t="shared" si="17"/>
        <v>11.230755</v>
      </c>
      <c r="J129" s="107">
        <f t="shared" si="17"/>
        <v>10.188828000000001</v>
      </c>
      <c r="K129" s="107">
        <f t="shared" si="17"/>
        <v>10.4136255</v>
      </c>
      <c r="L129" s="107">
        <f t="shared" si="17"/>
        <v>7.3618245</v>
      </c>
      <c r="M129" s="107">
        <f t="shared" si="17"/>
        <v>9.8298860000000001</v>
      </c>
      <c r="N129" s="107">
        <f t="shared" si="17"/>
        <v>9.6378819999999994</v>
      </c>
      <c r="O129" s="124">
        <f t="shared" si="17"/>
        <v>10.65733</v>
      </c>
    </row>
    <row r="130" spans="1:15">
      <c r="A130" s="204"/>
      <c r="B130" s="114" t="s">
        <v>2</v>
      </c>
      <c r="C130" s="115">
        <f>HLOOKUP(C$117,$86:$102,14,FALSE)</f>
        <v>402.63279599999998</v>
      </c>
      <c r="D130" s="115">
        <f t="shared" ref="D130:O130" si="18">HLOOKUP(D$117,$86:$102,14,FALSE)</f>
        <v>439.88518599999998</v>
      </c>
      <c r="E130" s="115">
        <f t="shared" si="18"/>
        <v>539.97746800000004</v>
      </c>
      <c r="F130" s="115">
        <f t="shared" si="18"/>
        <v>635.33395399999995</v>
      </c>
      <c r="G130" s="115">
        <f t="shared" si="18"/>
        <v>651.26713199999995</v>
      </c>
      <c r="H130" s="115">
        <f t="shared" si="18"/>
        <v>524.07938200000001</v>
      </c>
      <c r="I130" s="115">
        <f t="shared" si="18"/>
        <v>405.32882699999999</v>
      </c>
      <c r="J130" s="115">
        <f t="shared" si="18"/>
        <v>306.54494699999998</v>
      </c>
      <c r="K130" s="115">
        <f t="shared" si="18"/>
        <v>318.519248</v>
      </c>
      <c r="L130" s="115">
        <f t="shared" si="18"/>
        <v>326.27484099999998</v>
      </c>
      <c r="M130" s="115">
        <f t="shared" si="18"/>
        <v>342.12679300000002</v>
      </c>
      <c r="N130" s="115">
        <f t="shared" si="18"/>
        <v>330.70816200000002</v>
      </c>
      <c r="O130" s="125">
        <f t="shared" si="18"/>
        <v>305.36184200000002</v>
      </c>
    </row>
    <row r="131" spans="1:15">
      <c r="A131" s="204"/>
      <c r="B131" s="105" t="s">
        <v>21</v>
      </c>
      <c r="C131" s="116">
        <f>HLOOKUP(C$117,$86:$102,15,FALSE)</f>
        <v>33.641058999999998</v>
      </c>
      <c r="D131" s="116">
        <f t="shared" ref="D131:O131" si="19">HLOOKUP(D$117,$86:$102,15,FALSE)</f>
        <v>32.047055999999998</v>
      </c>
      <c r="E131" s="116">
        <f t="shared" si="19"/>
        <v>35.225064000000003</v>
      </c>
      <c r="F131" s="116">
        <f t="shared" si="19"/>
        <v>67.033137999999994</v>
      </c>
      <c r="G131" s="116">
        <f t="shared" si="19"/>
        <v>77.653036</v>
      </c>
      <c r="H131" s="116">
        <f t="shared" si="19"/>
        <v>70.647335999999996</v>
      </c>
      <c r="I131" s="116">
        <f t="shared" si="19"/>
        <v>61.365385000000003</v>
      </c>
      <c r="J131" s="116">
        <f t="shared" si="19"/>
        <v>55.991686000000001</v>
      </c>
      <c r="K131" s="116">
        <f t="shared" si="19"/>
        <v>79.778822000000005</v>
      </c>
      <c r="L131" s="116">
        <f t="shared" si="19"/>
        <v>123.950131</v>
      </c>
      <c r="M131" s="116">
        <f t="shared" si="19"/>
        <v>89.734262000000001</v>
      </c>
      <c r="N131" s="116">
        <f t="shared" si="19"/>
        <v>82.194308000000007</v>
      </c>
      <c r="O131" s="116">
        <f t="shared" si="19"/>
        <v>98.033413999999993</v>
      </c>
    </row>
    <row r="132" spans="1:15">
      <c r="A132" s="204"/>
      <c r="B132" s="117" t="s">
        <v>1</v>
      </c>
      <c r="C132" s="118">
        <f>HLOOKUP(C$117,$86:$102,16,FALSE)</f>
        <v>436.27385500000003</v>
      </c>
      <c r="D132" s="118">
        <f t="shared" ref="D132:O132" si="20">HLOOKUP(D$117,$86:$102,16,FALSE)</f>
        <v>471.93224199999997</v>
      </c>
      <c r="E132" s="118">
        <f t="shared" si="20"/>
        <v>575.20253200000002</v>
      </c>
      <c r="F132" s="118">
        <f t="shared" si="20"/>
        <v>702.36709199999996</v>
      </c>
      <c r="G132" s="118">
        <f t="shared" si="20"/>
        <v>728.92016799999999</v>
      </c>
      <c r="H132" s="118">
        <f t="shared" si="20"/>
        <v>594.72671800000001</v>
      </c>
      <c r="I132" s="118">
        <f t="shared" si="20"/>
        <v>466.69421199999999</v>
      </c>
      <c r="J132" s="118">
        <f t="shared" si="20"/>
        <v>362.53663299999999</v>
      </c>
      <c r="K132" s="118">
        <f t="shared" si="20"/>
        <v>398.29807</v>
      </c>
      <c r="L132" s="118">
        <f t="shared" si="20"/>
        <v>450.22497199999998</v>
      </c>
      <c r="M132" s="118">
        <f t="shared" si="20"/>
        <v>431.86105500000002</v>
      </c>
      <c r="N132" s="118">
        <f t="shared" si="20"/>
        <v>412.90246999999999</v>
      </c>
      <c r="O132" s="118">
        <f t="shared" si="20"/>
        <v>403.39525600000002</v>
      </c>
    </row>
    <row r="133" spans="1:15" ht="14.25">
      <c r="A133" s="205"/>
      <c r="B133" s="126" t="s">
        <v>75</v>
      </c>
      <c r="C133" s="127">
        <f>C120+C121+C123</f>
        <v>55.506872999999999</v>
      </c>
      <c r="D133" s="127">
        <f>D120+D121+D123</f>
        <v>70.042819000000009</v>
      </c>
      <c r="E133" s="127">
        <f t="shared" ref="E133:O133" si="21">E120+E121+E123</f>
        <v>85.898263999999998</v>
      </c>
      <c r="F133" s="127">
        <f t="shared" si="21"/>
        <v>121.496702</v>
      </c>
      <c r="G133" s="127">
        <f t="shared" si="21"/>
        <v>132.469054</v>
      </c>
      <c r="H133" s="127">
        <f t="shared" si="21"/>
        <v>93.246324000000001</v>
      </c>
      <c r="I133" s="127">
        <f t="shared" si="21"/>
        <v>60.668753000000002</v>
      </c>
      <c r="J133" s="127">
        <f t="shared" si="21"/>
        <v>32.393524999999997</v>
      </c>
      <c r="K133" s="127">
        <f t="shared" si="21"/>
        <v>28.980339000000001</v>
      </c>
      <c r="L133" s="127">
        <f t="shared" si="21"/>
        <v>54.403029000000004</v>
      </c>
      <c r="M133" s="127">
        <f t="shared" si="21"/>
        <v>47.337153999999998</v>
      </c>
      <c r="N133" s="127">
        <f t="shared" si="21"/>
        <v>40.752212</v>
      </c>
      <c r="O133" s="127">
        <f t="shared" si="21"/>
        <v>36.577028999999996</v>
      </c>
    </row>
    <row r="134" spans="1:15">
      <c r="A134" s="203" t="s">
        <v>77</v>
      </c>
      <c r="B134" s="128" t="s">
        <v>73</v>
      </c>
      <c r="C134" s="111" t="str">
        <f>TEXT(EDATE($A$2,-12),"mmm")&amp;".-"&amp;TEXT(EDATE($A$2,-12),"aa")</f>
        <v>abr.-22</v>
      </c>
      <c r="D134" s="111" t="str">
        <f>TEXT(EDATE($A$2,-11),"mmm")&amp;".-"&amp;TEXT(EDATE($A$2,-11),"aa")</f>
        <v>may.-22</v>
      </c>
      <c r="E134" s="111" t="str">
        <f>TEXT(EDATE($A$2,-10),"mmm")&amp;".-"&amp;TEXT(EDATE($A$2,-10),"aa")</f>
        <v>jun.-22</v>
      </c>
      <c r="F134" s="111" t="str">
        <f>TEXT(EDATE($A$2,-9),"mmm")&amp;".-"&amp;TEXT(EDATE($A$2,-9),"aa")</f>
        <v>jul.-22</v>
      </c>
      <c r="G134" s="111" t="str">
        <f>TEXT(EDATE($A$2,-8),"mmm")&amp;".-"&amp;TEXT(EDATE($A$2,-8),"aa")</f>
        <v>ago.-22</v>
      </c>
      <c r="H134" s="111" t="str">
        <f>TEXT(EDATE($A$2,-7),"mmm")&amp;".-"&amp;TEXT(EDATE($A$2,-7),"aa")</f>
        <v>sep.-22</v>
      </c>
      <c r="I134" s="111" t="str">
        <f>TEXT(EDATE($A$2,-6),"mmm")&amp;".-"&amp;TEXT(EDATE($A$2,-6),"aa")</f>
        <v>oct.-22</v>
      </c>
      <c r="J134" s="111" t="str">
        <f>TEXT(EDATE($A$2,-5),"mmm")&amp;".-"&amp;TEXT(EDATE($A$2,-5),"aa")</f>
        <v>nov.-22</v>
      </c>
      <c r="K134" s="111" t="str">
        <f>TEXT(EDATE($A$2,-4),"mmm")&amp;".-"&amp;TEXT(EDATE($A$2,-4),"aa")</f>
        <v>dic.-22</v>
      </c>
      <c r="L134" s="111" t="str">
        <f>TEXT(EDATE($A$2,-3),"mmm")&amp;".-"&amp;TEXT(EDATE($A$2,-3),"aa")</f>
        <v>ene.-23</v>
      </c>
      <c r="M134" s="111" t="str">
        <f>TEXT(EDATE($A$2,-2),"mmm")&amp;".-"&amp;TEXT(EDATE($A$2,-2),"aa")</f>
        <v>feb.-23</v>
      </c>
      <c r="N134" s="111" t="str">
        <f>TEXT(EDATE($A$2,-1),"mmm")&amp;".-"&amp;TEXT(EDATE($A$2,-1),"aa")</f>
        <v>mar.-23</v>
      </c>
      <c r="O134" s="112" t="str">
        <f>TEXT($A$2,"mmm")&amp;".-"&amp;TEXT($A$2,"aa")</f>
        <v>abr.-23</v>
      </c>
    </row>
    <row r="135" spans="1:15" ht="15" customHeight="1">
      <c r="A135" s="204"/>
      <c r="B135" s="105" t="s">
        <v>12</v>
      </c>
      <c r="C135" s="107">
        <f>HLOOKUP(C$117,$86:$115,17,FALSE)</f>
        <v>0.27407199999999998</v>
      </c>
      <c r="D135" s="107">
        <f t="shared" ref="D135:N135" si="22">HLOOKUP(D$117,$86:$115,17,FALSE)</f>
        <v>0.29870099999999999</v>
      </c>
      <c r="E135" s="107">
        <f t="shared" si="22"/>
        <v>0.28138299999999999</v>
      </c>
      <c r="F135" s="107">
        <f t="shared" si="22"/>
        <v>0.29436099999999998</v>
      </c>
      <c r="G135" s="107">
        <f t="shared" si="22"/>
        <v>0.29274699999999998</v>
      </c>
      <c r="H135" s="107">
        <f t="shared" si="22"/>
        <v>0.28892499999999999</v>
      </c>
      <c r="I135" s="107">
        <f t="shared" si="22"/>
        <v>0.29400900000000002</v>
      </c>
      <c r="J135" s="107">
        <f t="shared" si="22"/>
        <v>0.27748800000000001</v>
      </c>
      <c r="K135" s="107">
        <f t="shared" si="22"/>
        <v>0.28856799999999999</v>
      </c>
      <c r="L135" s="107">
        <f t="shared" si="22"/>
        <v>0.27497500000000002</v>
      </c>
      <c r="M135" s="107">
        <f t="shared" si="22"/>
        <v>0.25442500000000001</v>
      </c>
      <c r="N135" s="107">
        <f t="shared" si="22"/>
        <v>0.29023300000000002</v>
      </c>
      <c r="O135" s="144">
        <f>HLOOKUP(O$117,$86:$115,17,FALSE)</f>
        <v>0.27610800000000002</v>
      </c>
    </row>
    <row r="136" spans="1:15">
      <c r="A136" s="204"/>
      <c r="B136" s="105" t="s">
        <v>10</v>
      </c>
      <c r="C136" s="107">
        <f>HLOOKUP(C$117,$86:$115,18,FALSE)+HLOOKUP(C$117,$86:$115,22,FALSE)</f>
        <v>137.06188</v>
      </c>
      <c r="D136" s="107">
        <f>HLOOKUP(D$117,$86:$115,18,FALSE)+HLOOKUP(D$117,$86:$115,22,FALSE)</f>
        <v>142.20013900000001</v>
      </c>
      <c r="E136" s="107">
        <f t="shared" ref="E136:N136" si="23">HLOOKUP(E$117,$86:$115,18,FALSE)+HLOOKUP(E$117,$86:$115,22,FALSE)</f>
        <v>140.176005</v>
      </c>
      <c r="F136" s="107">
        <f t="shared" si="23"/>
        <v>145.15529100000001</v>
      </c>
      <c r="G136" s="107">
        <f t="shared" si="23"/>
        <v>144.43334199999998</v>
      </c>
      <c r="H136" s="107">
        <f t="shared" si="23"/>
        <v>147.13243900000001</v>
      </c>
      <c r="I136" s="107">
        <f t="shared" si="23"/>
        <v>153.67971399999999</v>
      </c>
      <c r="J136" s="107">
        <f t="shared" si="23"/>
        <v>154.14347199999997</v>
      </c>
      <c r="K136" s="107">
        <f t="shared" si="23"/>
        <v>168.09939200000002</v>
      </c>
      <c r="L136" s="107">
        <f t="shared" si="23"/>
        <v>149.65270200000001</v>
      </c>
      <c r="M136" s="107">
        <f t="shared" si="23"/>
        <v>151.161632</v>
      </c>
      <c r="N136" s="107">
        <f t="shared" si="23"/>
        <v>141.34883499999998</v>
      </c>
      <c r="O136" s="124">
        <f>HLOOKUP(O$117,$86:$115,18,FALSE)+HLOOKUP(O$117,$86:$115,22,FALSE)</f>
        <v>149.84285</v>
      </c>
    </row>
    <row r="137" spans="1:15">
      <c r="A137" s="204"/>
      <c r="B137" s="105" t="s">
        <v>9</v>
      </c>
      <c r="C137" s="107">
        <f>HLOOKUP(C$117,$86:$115,19,FALSE)</f>
        <v>17.593667</v>
      </c>
      <c r="D137" s="107">
        <f t="shared" ref="D137:O137" si="24">HLOOKUP(D$117,$86:$115,19,FALSE)</f>
        <v>15.375764</v>
      </c>
      <c r="E137" s="107">
        <f t="shared" si="24"/>
        <v>14.745179</v>
      </c>
      <c r="F137" s="107">
        <f t="shared" si="24"/>
        <v>19.947948</v>
      </c>
      <c r="G137" s="107">
        <f t="shared" si="24"/>
        <v>17.951955999999999</v>
      </c>
      <c r="H137" s="107">
        <f t="shared" si="24"/>
        <v>27.959973000000002</v>
      </c>
      <c r="I137" s="107">
        <f t="shared" si="24"/>
        <v>36.672798</v>
      </c>
      <c r="J137" s="107">
        <f t="shared" si="24"/>
        <v>23.967887999999999</v>
      </c>
      <c r="K137" s="107">
        <f t="shared" si="24"/>
        <v>22.080762</v>
      </c>
      <c r="L137" s="107">
        <f t="shared" si="24"/>
        <v>14.760491</v>
      </c>
      <c r="M137" s="107">
        <f t="shared" si="24"/>
        <v>26.990496</v>
      </c>
      <c r="N137" s="107">
        <f t="shared" si="24"/>
        <v>16.813075000000001</v>
      </c>
      <c r="O137" s="124">
        <f t="shared" si="24"/>
        <v>21.092299000000001</v>
      </c>
    </row>
    <row r="138" spans="1:15">
      <c r="A138" s="204"/>
      <c r="B138" s="105" t="s">
        <v>8</v>
      </c>
      <c r="C138" s="107">
        <f>HLOOKUP(C$117,$86:$115,20,FALSE)</f>
        <v>103.636366</v>
      </c>
      <c r="D138" s="107">
        <f t="shared" ref="D138:O138" si="25">HLOOKUP(D$117,$86:$115,20,FALSE)</f>
        <v>86.849653000000004</v>
      </c>
      <c r="E138" s="107">
        <f t="shared" si="25"/>
        <v>60.625900999999999</v>
      </c>
      <c r="F138" s="107">
        <f t="shared" si="25"/>
        <v>73.212086999999997</v>
      </c>
      <c r="G138" s="107">
        <f t="shared" si="25"/>
        <v>102.417013</v>
      </c>
      <c r="H138" s="107">
        <f t="shared" si="25"/>
        <v>110.953991</v>
      </c>
      <c r="I138" s="107">
        <f t="shared" si="25"/>
        <v>118.59882</v>
      </c>
      <c r="J138" s="107">
        <f t="shared" si="25"/>
        <v>93.771169</v>
      </c>
      <c r="K138" s="107">
        <f t="shared" si="25"/>
        <v>122.69665500000001</v>
      </c>
      <c r="L138" s="107">
        <f t="shared" si="25"/>
        <v>118.030389</v>
      </c>
      <c r="M138" s="107">
        <f t="shared" si="25"/>
        <v>118.052049</v>
      </c>
      <c r="N138" s="107">
        <f t="shared" si="25"/>
        <v>103.679242</v>
      </c>
      <c r="O138" s="124">
        <f t="shared" si="25"/>
        <v>89.164951000000002</v>
      </c>
    </row>
    <row r="139" spans="1:15" ht="14.25">
      <c r="A139" s="204"/>
      <c r="B139" s="105" t="s">
        <v>74</v>
      </c>
      <c r="C139" s="107">
        <f>HLOOKUP(C$117,$86:$115,21,FALSE)</f>
        <v>265.37271800000002</v>
      </c>
      <c r="D139" s="107">
        <f t="shared" ref="D139:O139" si="26">HLOOKUP(D$117,$86:$115,21,FALSE)</f>
        <v>303.45663500000001</v>
      </c>
      <c r="E139" s="107">
        <f t="shared" si="26"/>
        <v>283.58392400000002</v>
      </c>
      <c r="F139" s="107">
        <f t="shared" si="26"/>
        <v>295.51749599999999</v>
      </c>
      <c r="G139" s="107">
        <f t="shared" si="26"/>
        <v>269.79137200000002</v>
      </c>
      <c r="H139" s="107">
        <f t="shared" si="26"/>
        <v>285.29845599999999</v>
      </c>
      <c r="I139" s="107">
        <f t="shared" si="26"/>
        <v>305.38632699999999</v>
      </c>
      <c r="J139" s="107">
        <f t="shared" si="26"/>
        <v>309.74341800000002</v>
      </c>
      <c r="K139" s="107">
        <f t="shared" si="26"/>
        <v>347.66188299999999</v>
      </c>
      <c r="L139" s="107">
        <f t="shared" si="26"/>
        <v>279.418815</v>
      </c>
      <c r="M139" s="107">
        <f t="shared" si="26"/>
        <v>289.33312999999998</v>
      </c>
      <c r="N139" s="107">
        <f t="shared" si="26"/>
        <v>284.83144399999998</v>
      </c>
      <c r="O139" s="124">
        <f t="shared" si="26"/>
        <v>279.54366599999997</v>
      </c>
    </row>
    <row r="140" spans="1:15">
      <c r="A140" s="204"/>
      <c r="B140" s="105" t="s">
        <v>6</v>
      </c>
      <c r="C140" s="107">
        <f>HLOOKUP(C$117,$86:$115,23,FALSE)</f>
        <v>1.7525280000000001</v>
      </c>
      <c r="D140" s="107">
        <f t="shared" ref="D140:O140" si="27">HLOOKUP(D$117,$86:$115,23,FALSE)</f>
        <v>1.9171739999999999</v>
      </c>
      <c r="E140" s="107">
        <f t="shared" si="27"/>
        <v>2.44956</v>
      </c>
      <c r="F140" s="107">
        <f t="shared" si="27"/>
        <v>3.5629430000000002</v>
      </c>
      <c r="G140" s="107">
        <f t="shared" si="27"/>
        <v>3.5176750000000001</v>
      </c>
      <c r="H140" s="107">
        <f t="shared" si="27"/>
        <v>2.0750950000000001</v>
      </c>
      <c r="I140" s="107">
        <f t="shared" si="27"/>
        <v>1.3500719999999999</v>
      </c>
      <c r="J140" s="107">
        <f t="shared" si="27"/>
        <v>1.1694089999999999</v>
      </c>
      <c r="K140" s="107">
        <f t="shared" si="27"/>
        <v>0.36710399999999999</v>
      </c>
      <c r="L140" s="107">
        <f t="shared" si="27"/>
        <v>1.6495040000000001</v>
      </c>
      <c r="M140" s="107">
        <f t="shared" si="27"/>
        <v>0.82934099999999999</v>
      </c>
      <c r="N140" s="107">
        <f t="shared" si="27"/>
        <v>1.5724450000000001</v>
      </c>
      <c r="O140" s="124">
        <f t="shared" si="27"/>
        <v>1.573337</v>
      </c>
    </row>
    <row r="141" spans="1:15">
      <c r="A141" s="204"/>
      <c r="B141" s="105" t="s">
        <v>5</v>
      </c>
      <c r="C141" s="107">
        <f>HLOOKUP(C$117,$86:$115,24,FALSE)</f>
        <v>120.73900500000001</v>
      </c>
      <c r="D141" s="107">
        <f t="shared" ref="D141:O141" si="28">HLOOKUP(D$117,$86:$115,24,FALSE)</f>
        <v>116.96555499999999</v>
      </c>
      <c r="E141" s="107">
        <f t="shared" si="28"/>
        <v>160.356527</v>
      </c>
      <c r="F141" s="107">
        <f t="shared" si="28"/>
        <v>181.49906899999999</v>
      </c>
      <c r="G141" s="107">
        <f t="shared" si="28"/>
        <v>185.782734</v>
      </c>
      <c r="H141" s="107">
        <f t="shared" si="28"/>
        <v>123.26133799999999</v>
      </c>
      <c r="I141" s="107">
        <f t="shared" si="28"/>
        <v>85.078937999999994</v>
      </c>
      <c r="J141" s="107">
        <f t="shared" si="28"/>
        <v>102.221262</v>
      </c>
      <c r="K141" s="107">
        <f t="shared" si="28"/>
        <v>37.913117999999997</v>
      </c>
      <c r="L141" s="107">
        <f t="shared" si="28"/>
        <v>132.72816599999999</v>
      </c>
      <c r="M141" s="107">
        <f t="shared" si="28"/>
        <v>42.685206000000001</v>
      </c>
      <c r="N141" s="107">
        <f t="shared" si="28"/>
        <v>131.43829199999999</v>
      </c>
      <c r="O141" s="124">
        <f t="shared" si="28"/>
        <v>103.68509299999999</v>
      </c>
    </row>
    <row r="142" spans="1:15">
      <c r="A142" s="204"/>
      <c r="B142" s="105" t="s">
        <v>4</v>
      </c>
      <c r="C142" s="107">
        <f>HLOOKUP(C$117,$86:$115,25,FALSE)</f>
        <v>26.39603</v>
      </c>
      <c r="D142" s="107">
        <f t="shared" ref="D142:O142" si="29">HLOOKUP(D$117,$86:$115,25,FALSE)</f>
        <v>32.971663999999997</v>
      </c>
      <c r="E142" s="107">
        <f t="shared" si="29"/>
        <v>30.752493999999999</v>
      </c>
      <c r="F142" s="107">
        <f t="shared" si="29"/>
        <v>34.434815</v>
      </c>
      <c r="G142" s="107">
        <f t="shared" si="29"/>
        <v>32.263370000000002</v>
      </c>
      <c r="H142" s="107">
        <f t="shared" si="29"/>
        <v>26.538736</v>
      </c>
      <c r="I142" s="107">
        <f t="shared" si="29"/>
        <v>26.753266</v>
      </c>
      <c r="J142" s="107">
        <f t="shared" si="29"/>
        <v>23.169461999999999</v>
      </c>
      <c r="K142" s="107">
        <f t="shared" si="29"/>
        <v>19.006923</v>
      </c>
      <c r="L142" s="107">
        <f t="shared" si="29"/>
        <v>22.065138000000001</v>
      </c>
      <c r="M142" s="107">
        <f t="shared" si="29"/>
        <v>20.222797</v>
      </c>
      <c r="N142" s="107">
        <f t="shared" si="29"/>
        <v>32.125762000000002</v>
      </c>
      <c r="O142" s="124">
        <f t="shared" si="29"/>
        <v>29.890439000000001</v>
      </c>
    </row>
    <row r="143" spans="1:15">
      <c r="A143" s="204"/>
      <c r="B143" s="105" t="s">
        <v>22</v>
      </c>
      <c r="C143" s="107">
        <f>HLOOKUP(C$117,$86:$115,26,FALSE)</f>
        <v>0.61352399999999996</v>
      </c>
      <c r="D143" s="107">
        <f t="shared" ref="D143:O143" si="30">HLOOKUP(D$117,$86:$115,26,FALSE)</f>
        <v>0.72146399999999999</v>
      </c>
      <c r="E143" s="107">
        <f t="shared" si="30"/>
        <v>0.696106</v>
      </c>
      <c r="F143" s="107">
        <f t="shared" si="30"/>
        <v>0.688222</v>
      </c>
      <c r="G143" s="107">
        <f t="shared" si="30"/>
        <v>0.71531400000000001</v>
      </c>
      <c r="H143" s="107">
        <f t="shared" si="30"/>
        <v>0.714812</v>
      </c>
      <c r="I143" s="107">
        <f t="shared" si="30"/>
        <v>0.73132799999999998</v>
      </c>
      <c r="J143" s="107">
        <f t="shared" si="30"/>
        <v>0.76498500000000003</v>
      </c>
      <c r="K143" s="107">
        <f t="shared" si="30"/>
        <v>0.78453200000000001</v>
      </c>
      <c r="L143" s="107">
        <f t="shared" si="30"/>
        <v>0.78413299999999997</v>
      </c>
      <c r="M143" s="107">
        <f t="shared" si="30"/>
        <v>0.71108700000000002</v>
      </c>
      <c r="N143" s="107">
        <f t="shared" si="30"/>
        <v>0.73842799999999997</v>
      </c>
      <c r="O143" s="124">
        <f t="shared" si="30"/>
        <v>0.63095199999999996</v>
      </c>
    </row>
    <row r="144" spans="1:15">
      <c r="A144" s="204"/>
      <c r="B144" s="117" t="s">
        <v>1</v>
      </c>
      <c r="C144" s="118">
        <f>HLOOKUP(C$117,$86:$115,28,FALSE)</f>
        <v>673.43979000000002</v>
      </c>
      <c r="D144" s="118">
        <f t="shared" ref="D144:O144" si="31">HLOOKUP(D$117,$86:$115,28,FALSE)</f>
        <v>700.75674900000001</v>
      </c>
      <c r="E144" s="118">
        <f t="shared" si="31"/>
        <v>693.66707899999994</v>
      </c>
      <c r="F144" s="118">
        <f t="shared" si="31"/>
        <v>754.31223199999999</v>
      </c>
      <c r="G144" s="118">
        <f t="shared" si="31"/>
        <v>757.16552300000001</v>
      </c>
      <c r="H144" s="118">
        <f t="shared" si="31"/>
        <v>724.22376499999996</v>
      </c>
      <c r="I144" s="118">
        <f t="shared" si="31"/>
        <v>728.54527199999995</v>
      </c>
      <c r="J144" s="118">
        <f t="shared" si="31"/>
        <v>709.22855300000003</v>
      </c>
      <c r="K144" s="118">
        <f t="shared" si="31"/>
        <v>718.89893700000005</v>
      </c>
      <c r="L144" s="118">
        <f t="shared" si="31"/>
        <v>719.36431300000004</v>
      </c>
      <c r="M144" s="118">
        <f t="shared" si="31"/>
        <v>650.24016300000005</v>
      </c>
      <c r="N144" s="118">
        <f t="shared" si="31"/>
        <v>712.83775600000001</v>
      </c>
      <c r="O144" s="118">
        <f t="shared" si="31"/>
        <v>675.69969500000002</v>
      </c>
    </row>
    <row r="145" spans="1:26">
      <c r="A145" s="204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5"/>
      <c r="B146" s="126" t="s">
        <v>75</v>
      </c>
      <c r="C146" s="130">
        <f>SUM(C136:C138)</f>
        <v>258.29191300000002</v>
      </c>
      <c r="D146" s="130">
        <f t="shared" ref="D146:N146" si="32">SUM(D136:D138)</f>
        <v>244.42555600000003</v>
      </c>
      <c r="E146" s="130">
        <f t="shared" si="32"/>
        <v>215.54708500000001</v>
      </c>
      <c r="F146" s="130">
        <f t="shared" si="32"/>
        <v>238.315326</v>
      </c>
      <c r="G146" s="130">
        <f t="shared" si="32"/>
        <v>264.80231099999997</v>
      </c>
      <c r="H146" s="130">
        <f t="shared" si="32"/>
        <v>286.046403</v>
      </c>
      <c r="I146" s="130">
        <f t="shared" si="32"/>
        <v>308.95133199999998</v>
      </c>
      <c r="J146" s="130">
        <f t="shared" si="32"/>
        <v>271.88252899999998</v>
      </c>
      <c r="K146" s="130">
        <f t="shared" si="32"/>
        <v>312.87680900000004</v>
      </c>
      <c r="L146" s="130">
        <f t="shared" si="32"/>
        <v>282.44358199999999</v>
      </c>
      <c r="M146" s="130">
        <f t="shared" si="32"/>
        <v>296.20417700000002</v>
      </c>
      <c r="N146" s="130">
        <f t="shared" si="32"/>
        <v>261.84115199999997</v>
      </c>
      <c r="O146" s="131">
        <f>SUM(O136:O138)</f>
        <v>260.1001</v>
      </c>
    </row>
    <row r="149" spans="1:26" ht="15">
      <c r="A149" s="157"/>
      <c r="B149" s="157" t="s">
        <v>68</v>
      </c>
      <c r="C149" s="202" t="s">
        <v>57</v>
      </c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121</v>
      </c>
      <c r="B152" s="159" t="s">
        <v>122</v>
      </c>
      <c r="C152" s="177">
        <v>-7.5359999999999996E-2</v>
      </c>
      <c r="D152" s="177">
        <v>3.8E-3</v>
      </c>
      <c r="E152" s="177">
        <v>-3.3099999999999997E-2</v>
      </c>
      <c r="F152" s="177">
        <v>-4.6059999999999997E-2</v>
      </c>
      <c r="G152" s="177">
        <v>-2.4070000000000001E-2</v>
      </c>
      <c r="H152" s="177">
        <v>3.5500000000000002E-3</v>
      </c>
      <c r="I152" s="177">
        <v>-5.8900000000000003E-3</v>
      </c>
      <c r="J152" s="177">
        <v>-2.1729999999999999E-2</v>
      </c>
      <c r="K152" s="177">
        <v>6.2350000000000003E-2</v>
      </c>
      <c r="L152" s="177">
        <v>2.8600000000000001E-3</v>
      </c>
      <c r="M152" s="177">
        <v>-8.8199999999999997E-3</v>
      </c>
      <c r="N152" s="177">
        <v>6.8309999999999996E-2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2" t="s">
        <v>58</v>
      </c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121</v>
      </c>
      <c r="B158" s="159" t="s">
        <v>122</v>
      </c>
      <c r="C158" s="177">
        <v>3.3600000000000001E-3</v>
      </c>
      <c r="D158" s="177">
        <v>-1.31E-3</v>
      </c>
      <c r="E158" s="177">
        <v>-3.0000000000000001E-5</v>
      </c>
      <c r="F158" s="177">
        <v>4.7000000000000002E-3</v>
      </c>
      <c r="G158" s="177">
        <v>3.49E-3</v>
      </c>
      <c r="H158" s="177">
        <v>1.09E-3</v>
      </c>
      <c r="I158" s="177">
        <v>4.4999999999999999E-4</v>
      </c>
      <c r="J158" s="177">
        <v>1.9499999999999999E-3</v>
      </c>
      <c r="K158" s="177">
        <v>2.4899999999999999E-2</v>
      </c>
      <c r="L158" s="177">
        <v>1.4499999999999999E-3</v>
      </c>
      <c r="M158" s="177">
        <v>1E-3</v>
      </c>
      <c r="N158" s="177">
        <v>2.2450000000000001E-2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S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2023-05-18T11:54:46Z</dcterms:modified>
</cp:coreProperties>
</file>